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98"/>
  </bookViews>
  <sheets>
    <sheet name="Fact Sheet of VDC" sheetId="1" r:id="rId1"/>
    <sheet name="GV PH-I TH.RAMPUR" sheetId="300" r:id="rId2"/>
    <sheet name="ANTODAYA" sheetId="302" r:id="rId3"/>
    <sheet name="Lanjigarh GVT" sheetId="299" r:id="rId4"/>
    <sheet name="GRAM VIKASH II LANJIGARH" sheetId="285" r:id="rId5"/>
    <sheet name="GV PH-II THRAMPUR" sheetId="301" r:id="rId6"/>
    <sheet name="CYSD" sheetId="343" r:id="rId7"/>
    <sheet name="TSRD NANDAPUR" sheetId="344" r:id="rId8"/>
    <sheet name="LAVS" sheetId="345" r:id="rId9"/>
    <sheet name="RASS" sheetId="346" r:id="rId10"/>
    <sheet name="CYSD LAXMIPUR" sheetId="347" r:id="rId11"/>
    <sheet name="VIKASH" sheetId="348" r:id="rId12"/>
    <sheet name="TSRD SEMILIGUDA" sheetId="349" r:id="rId13"/>
    <sheet name="CCD" sheetId="330" r:id="rId14"/>
    <sheet name="SWWS" sheetId="335" r:id="rId15"/>
    <sheet name="PEACE" sheetId="334" r:id="rId16"/>
    <sheet name="JKP" sheetId="333" r:id="rId17"/>
    <sheet name="GRAM VIKAS" sheetId="331" r:id="rId18"/>
    <sheet name="SWWS II" sheetId="332" r:id="rId19"/>
    <sheet name="PRADATA" sheetId="318" r:id="rId20"/>
    <sheet name="JAGRUTI" sheetId="321" r:id="rId21"/>
    <sheet name="FNGO-CPSW" sheetId="320" r:id="rId22"/>
    <sheet name="FNGO-PRADAN" sheetId="319" r:id="rId23"/>
    <sheet name="FNGO FACT KNuagaon" sheetId="317" r:id="rId24"/>
    <sheet name="ODC" sheetId="350" r:id="rId25"/>
    <sheet name="HARMONY" sheetId="351" r:id="rId26"/>
    <sheet name="PARIVARTTAN" sheetId="352" r:id="rId27"/>
    <sheet name="IRDMS" sheetId="338" r:id="rId28"/>
    <sheet name="IYSARA" sheetId="339" r:id="rId29"/>
    <sheet name="RCDC" sheetId="340" r:id="rId30"/>
    <sheet name="AKSSUS" sheetId="323" r:id="rId31"/>
    <sheet name="BISWA" sheetId="324" r:id="rId32"/>
    <sheet name="FARR" sheetId="325" r:id="rId33"/>
    <sheet name="SHAKTI" sheetId="326" r:id="rId34"/>
    <sheet name="USO" sheetId="327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xlnm._FilterDatabase" localSheetId="0" hidden="1">'Fact Sheet of VDC'!$A$1:$D$35</definedName>
    <definedName name="_xlnm.Print_Area" localSheetId="30">AKSSUS!$A$1:$N$35</definedName>
  </definedNames>
  <calcPr calcId="124519"/>
</workbook>
</file>

<file path=xl/calcChain.xml><?xml version="1.0" encoding="utf-8"?>
<calcChain xmlns="http://schemas.openxmlformats.org/spreadsheetml/2006/main">
  <c r="G27" i="352"/>
  <c r="F27"/>
  <c r="E27"/>
  <c r="M26"/>
  <c r="N26" s="1"/>
  <c r="M25"/>
  <c r="N25" s="1"/>
  <c r="D25"/>
  <c r="N24"/>
  <c r="M24"/>
  <c r="D24"/>
  <c r="M23"/>
  <c r="N23" s="1"/>
  <c r="D23"/>
  <c r="N22"/>
  <c r="M22"/>
  <c r="D22"/>
  <c r="M21"/>
  <c r="N21" s="1"/>
  <c r="D21"/>
  <c r="N20"/>
  <c r="M20"/>
  <c r="M19"/>
  <c r="N19" s="1"/>
  <c r="I14"/>
  <c r="I13"/>
  <c r="I12"/>
  <c r="N10"/>
  <c r="I4"/>
  <c r="D19" s="1"/>
  <c r="L26" i="351"/>
  <c r="K26"/>
  <c r="J26"/>
  <c r="I26"/>
  <c r="H26"/>
  <c r="G26"/>
  <c r="F26"/>
  <c r="E26"/>
  <c r="D26"/>
  <c r="B26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I14"/>
  <c r="I13"/>
  <c r="H23" i="350"/>
  <c r="G23"/>
  <c r="F23"/>
  <c r="E23"/>
  <c r="N22"/>
  <c r="M22"/>
  <c r="N21"/>
  <c r="M21"/>
  <c r="D21"/>
  <c r="M20"/>
  <c r="N20" s="1"/>
  <c r="D20"/>
  <c r="N19"/>
  <c r="M19"/>
  <c r="D19"/>
  <c r="M18"/>
  <c r="N18" s="1"/>
  <c r="D18"/>
  <c r="N17"/>
  <c r="M17"/>
  <c r="D17"/>
  <c r="M16"/>
  <c r="N16" s="1"/>
  <c r="D16"/>
  <c r="N15"/>
  <c r="M15"/>
  <c r="D15"/>
  <c r="D23" s="1"/>
  <c r="I11"/>
  <c r="G11"/>
  <c r="E11"/>
  <c r="C11"/>
  <c r="I10"/>
  <c r="G10"/>
  <c r="E10"/>
  <c r="C10"/>
  <c r="M9"/>
  <c r="K9"/>
  <c r="I9"/>
  <c r="G9"/>
  <c r="E9"/>
  <c r="C9"/>
  <c r="L31" i="349"/>
  <c r="K31"/>
  <c r="J31"/>
  <c r="I31"/>
  <c r="H31"/>
  <c r="G31"/>
  <c r="F31"/>
  <c r="E31"/>
  <c r="N30"/>
  <c r="M30"/>
  <c r="N29"/>
  <c r="M29"/>
  <c r="N28"/>
  <c r="M28"/>
  <c r="N27"/>
  <c r="M27"/>
  <c r="N26"/>
  <c r="M26"/>
  <c r="N25"/>
  <c r="M25"/>
  <c r="N24"/>
  <c r="M24"/>
  <c r="D24"/>
  <c r="M23"/>
  <c r="M31" s="1"/>
  <c r="N31" s="1"/>
  <c r="D23"/>
  <c r="D31" s="1"/>
  <c r="N14"/>
  <c r="L14"/>
  <c r="M23" i="350" l="1"/>
  <c r="N23" s="1"/>
  <c r="M26" i="351"/>
  <c r="N26" s="1"/>
  <c r="D20" i="352"/>
  <c r="D27" s="1"/>
  <c r="M27"/>
  <c r="N27" s="1"/>
  <c r="N23" i="349"/>
  <c r="L27" i="348" l="1"/>
  <c r="K27"/>
  <c r="J27"/>
  <c r="I27"/>
  <c r="H27"/>
  <c r="G27"/>
  <c r="F27"/>
  <c r="E27"/>
  <c r="N26"/>
  <c r="M26"/>
  <c r="N25"/>
  <c r="M25"/>
  <c r="N24"/>
  <c r="M24"/>
  <c r="N23"/>
  <c r="M23"/>
  <c r="N22"/>
  <c r="M22"/>
  <c r="N21"/>
  <c r="M21"/>
  <c r="N20"/>
  <c r="M20"/>
  <c r="D20"/>
  <c r="M19"/>
  <c r="N19" s="1"/>
  <c r="G19"/>
  <c r="D19"/>
  <c r="D27" s="1"/>
  <c r="M27" l="1"/>
  <c r="N27" s="1"/>
  <c r="L28" i="347" l="1"/>
  <c r="K28"/>
  <c r="J28"/>
  <c r="I28"/>
  <c r="H28"/>
  <c r="G28"/>
  <c r="F28"/>
  <c r="E28"/>
  <c r="M27"/>
  <c r="N27" s="1"/>
  <c r="M26"/>
  <c r="N26" s="1"/>
  <c r="M25"/>
  <c r="N25" s="1"/>
  <c r="M24"/>
  <c r="N24" s="1"/>
  <c r="M23"/>
  <c r="N23" s="1"/>
  <c r="M22"/>
  <c r="N22" s="1"/>
  <c r="M21"/>
  <c r="N21" s="1"/>
  <c r="D21"/>
  <c r="N20"/>
  <c r="M20"/>
  <c r="M28" s="1"/>
  <c r="N28" s="1"/>
  <c r="D20"/>
  <c r="D28" s="1"/>
  <c r="L31" i="346" l="1"/>
  <c r="K31"/>
  <c r="J31"/>
  <c r="I31"/>
  <c r="H31"/>
  <c r="G31"/>
  <c r="F31"/>
  <c r="E31"/>
  <c r="M30"/>
  <c r="N30" s="1"/>
  <c r="M29"/>
  <c r="N29" s="1"/>
  <c r="M28"/>
  <c r="N28" s="1"/>
  <c r="M27"/>
  <c r="N27" s="1"/>
  <c r="M26"/>
  <c r="N26" s="1"/>
  <c r="M25"/>
  <c r="N25" s="1"/>
  <c r="M24"/>
  <c r="N24" s="1"/>
  <c r="D24"/>
  <c r="N23"/>
  <c r="M23"/>
  <c r="M31" s="1"/>
  <c r="N31" s="1"/>
  <c r="D23"/>
  <c r="D31" s="1"/>
  <c r="L31" i="345" l="1"/>
  <c r="K31"/>
  <c r="J31"/>
  <c r="I31"/>
  <c r="H31"/>
  <c r="G31"/>
  <c r="F31"/>
  <c r="E31"/>
  <c r="M30"/>
  <c r="N30" s="1"/>
  <c r="M29"/>
  <c r="N29" s="1"/>
  <c r="M28"/>
  <c r="N28" s="1"/>
  <c r="M27"/>
  <c r="N27" s="1"/>
  <c r="M26"/>
  <c r="N26" s="1"/>
  <c r="M25"/>
  <c r="N25" s="1"/>
  <c r="M24"/>
  <c r="N24" s="1"/>
  <c r="D24"/>
  <c r="N23"/>
  <c r="M23"/>
  <c r="M31" s="1"/>
  <c r="N31" s="1"/>
  <c r="D23"/>
  <c r="D31" s="1"/>
  <c r="J14"/>
  <c r="L31" i="344" l="1"/>
  <c r="K31"/>
  <c r="J31"/>
  <c r="I31"/>
  <c r="H31"/>
  <c r="G31"/>
  <c r="F31"/>
  <c r="E31"/>
  <c r="M30"/>
  <c r="N30" s="1"/>
  <c r="M29"/>
  <c r="N29" s="1"/>
  <c r="M28"/>
  <c r="N28" s="1"/>
  <c r="M27"/>
  <c r="N27" s="1"/>
  <c r="M26"/>
  <c r="N26" s="1"/>
  <c r="M25"/>
  <c r="N25" s="1"/>
  <c r="M24"/>
  <c r="N24" s="1"/>
  <c r="D24"/>
  <c r="N23"/>
  <c r="M23"/>
  <c r="M31" s="1"/>
  <c r="N31" s="1"/>
  <c r="D23"/>
  <c r="D31" s="1"/>
  <c r="L29" i="343" l="1"/>
  <c r="K29"/>
  <c r="J29"/>
  <c r="I29"/>
  <c r="H29"/>
  <c r="G29"/>
  <c r="F29"/>
  <c r="E29"/>
  <c r="N28"/>
  <c r="M28"/>
  <c r="N27"/>
  <c r="M27"/>
  <c r="N26"/>
  <c r="M26"/>
  <c r="N25"/>
  <c r="M25"/>
  <c r="N24"/>
  <c r="M24"/>
  <c r="N23"/>
  <c r="M23"/>
  <c r="N22"/>
  <c r="M22"/>
  <c r="D22"/>
  <c r="M21"/>
  <c r="N21" s="1"/>
  <c r="D21"/>
  <c r="D29" s="1"/>
  <c r="O26" i="335"/>
  <c r="P26" s="1"/>
  <c r="O25"/>
  <c r="P25" s="1"/>
  <c r="M25"/>
  <c r="F25"/>
  <c r="O24"/>
  <c r="P24" s="1"/>
  <c r="M24"/>
  <c r="F24"/>
  <c r="M23"/>
  <c r="J23"/>
  <c r="O23" s="1"/>
  <c r="P23" s="1"/>
  <c r="H23"/>
  <c r="H27" s="1"/>
  <c r="F23"/>
  <c r="M22"/>
  <c r="L22"/>
  <c r="K22"/>
  <c r="J22"/>
  <c r="O22" s="1"/>
  <c r="P22" s="1"/>
  <c r="I22"/>
  <c r="F22"/>
  <c r="N21"/>
  <c r="M21"/>
  <c r="O21" s="1"/>
  <c r="P21" s="1"/>
  <c r="F21"/>
  <c r="N20"/>
  <c r="M20"/>
  <c r="L20"/>
  <c r="K20"/>
  <c r="O20" s="1"/>
  <c r="P20" s="1"/>
  <c r="G20"/>
  <c r="F20"/>
  <c r="G16" s="1"/>
  <c r="N19"/>
  <c r="N27" s="1"/>
  <c r="M19"/>
  <c r="M27" s="1"/>
  <c r="L19"/>
  <c r="L27" s="1"/>
  <c r="K19"/>
  <c r="K27" s="1"/>
  <c r="J19"/>
  <c r="J27" s="1"/>
  <c r="I19"/>
  <c r="I27" s="1"/>
  <c r="G19"/>
  <c r="G27" s="1"/>
  <c r="F19"/>
  <c r="F27" s="1"/>
  <c r="M27" i="334"/>
  <c r="N27" s="1"/>
  <c r="L26"/>
  <c r="J26"/>
  <c r="H26"/>
  <c r="F26"/>
  <c r="M26" s="1"/>
  <c r="N26" s="1"/>
  <c r="E26"/>
  <c r="D26"/>
  <c r="M25"/>
  <c r="N25" s="1"/>
  <c r="E25"/>
  <c r="D25"/>
  <c r="L24"/>
  <c r="I24"/>
  <c r="M24" s="1"/>
  <c r="N24" s="1"/>
  <c r="F24"/>
  <c r="F28" s="1"/>
  <c r="D24"/>
  <c r="L23"/>
  <c r="I23"/>
  <c r="M23" s="1"/>
  <c r="N23" s="1"/>
  <c r="D23"/>
  <c r="L22"/>
  <c r="G22"/>
  <c r="M22" s="1"/>
  <c r="N22" s="1"/>
  <c r="D22"/>
  <c r="L21"/>
  <c r="K21"/>
  <c r="J21"/>
  <c r="I21"/>
  <c r="M21" s="1"/>
  <c r="N21" s="1"/>
  <c r="E21"/>
  <c r="D21"/>
  <c r="L20"/>
  <c r="L28" s="1"/>
  <c r="K20"/>
  <c r="K28" s="1"/>
  <c r="J20"/>
  <c r="J28" s="1"/>
  <c r="I20"/>
  <c r="I28" s="1"/>
  <c r="H20"/>
  <c r="H28" s="1"/>
  <c r="G20"/>
  <c r="G28" s="1"/>
  <c r="E20"/>
  <c r="E28" s="1"/>
  <c r="D20"/>
  <c r="D28" s="1"/>
  <c r="I15"/>
  <c r="I14"/>
  <c r="K13"/>
  <c r="J12"/>
  <c r="J31" i="333"/>
  <c r="R30"/>
  <c r="S30" s="1"/>
  <c r="R29"/>
  <c r="S29" s="1"/>
  <c r="K29"/>
  <c r="F29"/>
  <c r="R28"/>
  <c r="S28" s="1"/>
  <c r="F28"/>
  <c r="L27"/>
  <c r="R27" s="1"/>
  <c r="S27" s="1"/>
  <c r="H27"/>
  <c r="F27"/>
  <c r="P26"/>
  <c r="M26"/>
  <c r="R26" s="1"/>
  <c r="S26" s="1"/>
  <c r="K26"/>
  <c r="F26"/>
  <c r="P25"/>
  <c r="P31" s="1"/>
  <c r="M25"/>
  <c r="L25"/>
  <c r="K25"/>
  <c r="R25" s="1"/>
  <c r="S25" s="1"/>
  <c r="F25"/>
  <c r="O24"/>
  <c r="N24"/>
  <c r="M24"/>
  <c r="R24" s="1"/>
  <c r="S24" s="1"/>
  <c r="H24"/>
  <c r="F24"/>
  <c r="O23"/>
  <c r="O31" s="1"/>
  <c r="N23"/>
  <c r="N31" s="1"/>
  <c r="M23"/>
  <c r="M31" s="1"/>
  <c r="L23"/>
  <c r="L31" s="1"/>
  <c r="K23"/>
  <c r="K31" s="1"/>
  <c r="H23"/>
  <c r="H31" s="1"/>
  <c r="F23"/>
  <c r="F31" s="1"/>
  <c r="M30" i="332"/>
  <c r="L30"/>
  <c r="K30"/>
  <c r="J30"/>
  <c r="N29"/>
  <c r="O29" s="1"/>
  <c r="N28"/>
  <c r="O28" s="1"/>
  <c r="I28"/>
  <c r="D28"/>
  <c r="I27"/>
  <c r="G27"/>
  <c r="N27" s="1"/>
  <c r="O27" s="1"/>
  <c r="D27"/>
  <c r="I26"/>
  <c r="N26" s="1"/>
  <c r="O26" s="1"/>
  <c r="D26"/>
  <c r="I25"/>
  <c r="H25"/>
  <c r="G25"/>
  <c r="N25" s="1"/>
  <c r="O25" s="1"/>
  <c r="F25"/>
  <c r="F30" s="1"/>
  <c r="D25"/>
  <c r="N24"/>
  <c r="O24" s="1"/>
  <c r="I24"/>
  <c r="D24"/>
  <c r="I23"/>
  <c r="H23"/>
  <c r="N23" s="1"/>
  <c r="O23" s="1"/>
  <c r="E23"/>
  <c r="D23"/>
  <c r="I22"/>
  <c r="I30" s="1"/>
  <c r="H22"/>
  <c r="H30" s="1"/>
  <c r="G22"/>
  <c r="G30" s="1"/>
  <c r="E22"/>
  <c r="E30" s="1"/>
  <c r="D22"/>
  <c r="D30" s="1"/>
  <c r="L27" i="331"/>
  <c r="K27"/>
  <c r="J27"/>
  <c r="G26"/>
  <c r="M26" s="1"/>
  <c r="H25"/>
  <c r="G25"/>
  <c r="M25" s="1"/>
  <c r="F25"/>
  <c r="E25"/>
  <c r="D25"/>
  <c r="H24"/>
  <c r="G24"/>
  <c r="M24" s="1"/>
  <c r="F24"/>
  <c r="E24"/>
  <c r="D24"/>
  <c r="I23"/>
  <c r="H23"/>
  <c r="G23"/>
  <c r="M23" s="1"/>
  <c r="E23"/>
  <c r="D23"/>
  <c r="I22"/>
  <c r="H22"/>
  <c r="G22"/>
  <c r="M22" s="1"/>
  <c r="F22"/>
  <c r="F27" s="1"/>
  <c r="E22"/>
  <c r="D22"/>
  <c r="I21"/>
  <c r="H21"/>
  <c r="G21"/>
  <c r="M21" s="1"/>
  <c r="E21"/>
  <c r="D21"/>
  <c r="I20"/>
  <c r="H20"/>
  <c r="M20" s="1"/>
  <c r="E20"/>
  <c r="D20"/>
  <c r="I19"/>
  <c r="I27" s="1"/>
  <c r="H19"/>
  <c r="H27" s="1"/>
  <c r="G19"/>
  <c r="G27" s="1"/>
  <c r="E19"/>
  <c r="E27" s="1"/>
  <c r="D19"/>
  <c r="D27" s="1"/>
  <c r="E14"/>
  <c r="I14" s="1"/>
  <c r="E13"/>
  <c r="I13" s="1"/>
  <c r="K12"/>
  <c r="I12"/>
  <c r="E12"/>
  <c r="H5"/>
  <c r="M29" i="330"/>
  <c r="N29" s="1"/>
  <c r="M28"/>
  <c r="N28" s="1"/>
  <c r="D28"/>
  <c r="I27"/>
  <c r="M27" s="1"/>
  <c r="N27" s="1"/>
  <c r="D27"/>
  <c r="L26"/>
  <c r="I26"/>
  <c r="H26"/>
  <c r="F26"/>
  <c r="M26" s="1"/>
  <c r="N26" s="1"/>
  <c r="D26"/>
  <c r="L25"/>
  <c r="K25"/>
  <c r="J25"/>
  <c r="I25"/>
  <c r="G25"/>
  <c r="M25" s="1"/>
  <c r="N25" s="1"/>
  <c r="D25"/>
  <c r="L24"/>
  <c r="K24"/>
  <c r="J24"/>
  <c r="I24"/>
  <c r="H24"/>
  <c r="M24" s="1"/>
  <c r="N24" s="1"/>
  <c r="D24"/>
  <c r="L23"/>
  <c r="K23"/>
  <c r="J23"/>
  <c r="I23"/>
  <c r="M23" s="1"/>
  <c r="N23" s="1"/>
  <c r="E23"/>
  <c r="L22"/>
  <c r="L30" s="1"/>
  <c r="K22"/>
  <c r="K30" s="1"/>
  <c r="J22"/>
  <c r="J30" s="1"/>
  <c r="I22"/>
  <c r="I30" s="1"/>
  <c r="H22"/>
  <c r="H30" s="1"/>
  <c r="G22"/>
  <c r="G30" s="1"/>
  <c r="E22"/>
  <c r="E30" s="1"/>
  <c r="I17"/>
  <c r="I16"/>
  <c r="N15"/>
  <c r="K15"/>
  <c r="L12"/>
  <c r="K4"/>
  <c r="D23" s="1"/>
  <c r="N31" i="327"/>
  <c r="M31"/>
  <c r="N30"/>
  <c r="M30"/>
  <c r="D30"/>
  <c r="M29"/>
  <c r="N29" s="1"/>
  <c r="D29"/>
  <c r="N28"/>
  <c r="M28"/>
  <c r="D28"/>
  <c r="M27"/>
  <c r="N27" s="1"/>
  <c r="F27"/>
  <c r="D27"/>
  <c r="M26"/>
  <c r="N26" s="1"/>
  <c r="G26"/>
  <c r="D26"/>
  <c r="M25"/>
  <c r="N25" s="1"/>
  <c r="D25"/>
  <c r="G24"/>
  <c r="G32" s="1"/>
  <c r="F24"/>
  <c r="F32" s="1"/>
  <c r="D24"/>
  <c r="D32" s="1"/>
  <c r="L32" i="326"/>
  <c r="K32"/>
  <c r="J32"/>
  <c r="I32"/>
  <c r="H32"/>
  <c r="G32"/>
  <c r="D32"/>
  <c r="N31"/>
  <c r="N30"/>
  <c r="N29"/>
  <c r="N28"/>
  <c r="N27"/>
  <c r="N26"/>
  <c r="N25"/>
  <c r="N24"/>
  <c r="F24"/>
  <c r="F32" s="1"/>
  <c r="M32" s="1"/>
  <c r="N32" s="1"/>
  <c r="I18"/>
  <c r="I17"/>
  <c r="I16"/>
  <c r="L32" i="325"/>
  <c r="K32"/>
  <c r="J32"/>
  <c r="I32"/>
  <c r="H32"/>
  <c r="G32"/>
  <c r="D32"/>
  <c r="M31"/>
  <c r="N31" s="1"/>
  <c r="M30"/>
  <c r="N30" s="1"/>
  <c r="M29"/>
  <c r="N29" s="1"/>
  <c r="M28"/>
  <c r="N28" s="1"/>
  <c r="G27"/>
  <c r="F27"/>
  <c r="M27" s="1"/>
  <c r="N27" s="1"/>
  <c r="M26"/>
  <c r="N26" s="1"/>
  <c r="M25"/>
  <c r="N25" s="1"/>
  <c r="M24"/>
  <c r="N24" s="1"/>
  <c r="I18"/>
  <c r="I17"/>
  <c r="I16"/>
  <c r="L32" i="324"/>
  <c r="K32"/>
  <c r="J32"/>
  <c r="I32"/>
  <c r="G32"/>
  <c r="D32"/>
  <c r="M31"/>
  <c r="N31" s="1"/>
  <c r="M30"/>
  <c r="N30" s="1"/>
  <c r="M29"/>
  <c r="N29" s="1"/>
  <c r="M28"/>
  <c r="N28" s="1"/>
  <c r="M27"/>
  <c r="N27" s="1"/>
  <c r="F27"/>
  <c r="N26"/>
  <c r="M26"/>
  <c r="N25"/>
  <c r="M25"/>
  <c r="F24"/>
  <c r="F32" s="1"/>
  <c r="M32" s="1"/>
  <c r="N32" s="1"/>
  <c r="L13"/>
  <c r="L32" i="323"/>
  <c r="K32"/>
  <c r="J32"/>
  <c r="I32"/>
  <c r="H32"/>
  <c r="M31"/>
  <c r="N31" s="1"/>
  <c r="M30"/>
  <c r="N30" s="1"/>
  <c r="D30"/>
  <c r="N29"/>
  <c r="M29"/>
  <c r="D29"/>
  <c r="M28"/>
  <c r="N28" s="1"/>
  <c r="D28"/>
  <c r="F27"/>
  <c r="M27" s="1"/>
  <c r="N27" s="1"/>
  <c r="D27"/>
  <c r="G26"/>
  <c r="M26" s="1"/>
  <c r="N26" s="1"/>
  <c r="D26"/>
  <c r="N25"/>
  <c r="M25"/>
  <c r="D25"/>
  <c r="M24"/>
  <c r="N24" s="1"/>
  <c r="F24"/>
  <c r="F32" s="1"/>
  <c r="D24"/>
  <c r="D32" s="1"/>
  <c r="I18"/>
  <c r="I17"/>
  <c r="I16"/>
  <c r="N3" i="320"/>
  <c r="M29" i="343" l="1"/>
  <c r="N29" s="1"/>
  <c r="O19" i="335"/>
  <c r="M20" i="334"/>
  <c r="R23" i="333"/>
  <c r="N22" i="332"/>
  <c r="M19" i="331"/>
  <c r="M27" s="1"/>
  <c r="D22" i="330"/>
  <c r="D30" s="1"/>
  <c r="M22"/>
  <c r="F30"/>
  <c r="G32" i="323"/>
  <c r="M32"/>
  <c r="N32" s="1"/>
  <c r="M24" i="324"/>
  <c r="N24" s="1"/>
  <c r="F32" i="325"/>
  <c r="M32" s="1"/>
  <c r="N32" s="1"/>
  <c r="M24" i="327"/>
  <c r="O27" i="335" l="1"/>
  <c r="P27" s="1"/>
  <c r="P19"/>
  <c r="M28" i="334"/>
  <c r="N28" s="1"/>
  <c r="N20"/>
  <c r="R31" i="333"/>
  <c r="S31" s="1"/>
  <c r="S23"/>
  <c r="N30" i="332"/>
  <c r="O30" s="1"/>
  <c r="O22"/>
  <c r="M30" i="330"/>
  <c r="N30" s="1"/>
  <c r="N22"/>
  <c r="M32" i="327"/>
  <c r="N32" s="1"/>
  <c r="N24"/>
  <c r="T49" i="302"/>
  <c r="R49"/>
  <c r="P49"/>
  <c r="N49"/>
  <c r="L49"/>
  <c r="J49"/>
  <c r="H49"/>
  <c r="G49"/>
  <c r="F49"/>
  <c r="U48"/>
  <c r="V47"/>
  <c r="U47"/>
  <c r="U46"/>
  <c r="V46" s="1"/>
  <c r="U45"/>
  <c r="U44"/>
  <c r="U43"/>
  <c r="U42"/>
  <c r="U41"/>
  <c r="E41"/>
  <c r="E42" s="1"/>
  <c r="U40"/>
  <c r="V39"/>
  <c r="U39"/>
  <c r="E39"/>
  <c r="U38"/>
  <c r="U49" s="1"/>
  <c r="N29"/>
  <c r="N28"/>
  <c r="N27"/>
  <c r="K33" i="301"/>
  <c r="J33"/>
  <c r="I33"/>
  <c r="G33"/>
  <c r="F33"/>
  <c r="D33"/>
  <c r="H31"/>
  <c r="E31"/>
  <c r="E30"/>
  <c r="H29"/>
  <c r="E29" s="1"/>
  <c r="H28"/>
  <c r="E28" s="1"/>
  <c r="H27"/>
  <c r="E27" s="1"/>
  <c r="H26"/>
  <c r="E26"/>
  <c r="H25"/>
  <c r="H33" s="1"/>
  <c r="E25"/>
  <c r="E33" s="1"/>
  <c r="E17"/>
  <c r="C17"/>
  <c r="I17" s="1"/>
  <c r="K4"/>
  <c r="L31" i="300"/>
  <c r="K31"/>
  <c r="J31"/>
  <c r="H31"/>
  <c r="G31"/>
  <c r="F31"/>
  <c r="M30"/>
  <c r="N30" s="1"/>
  <c r="E30"/>
  <c r="M29"/>
  <c r="N29" s="1"/>
  <c r="E29"/>
  <c r="D29"/>
  <c r="M28"/>
  <c r="N28" s="1"/>
  <c r="E28"/>
  <c r="D28"/>
  <c r="M27"/>
  <c r="N27" s="1"/>
  <c r="E27"/>
  <c r="D27"/>
  <c r="M26"/>
  <c r="N26" s="1"/>
  <c r="E26"/>
  <c r="D26"/>
  <c r="M25"/>
  <c r="N25" s="1"/>
  <c r="E25"/>
  <c r="E31" s="1"/>
  <c r="D25"/>
  <c r="M24"/>
  <c r="N24" s="1"/>
  <c r="D24"/>
  <c r="N23"/>
  <c r="M23"/>
  <c r="M31" s="1"/>
  <c r="D23"/>
  <c r="D31" s="1"/>
  <c r="G17"/>
  <c r="E17"/>
  <c r="C17"/>
  <c r="G16"/>
  <c r="E16"/>
  <c r="C16"/>
  <c r="L15"/>
  <c r="I15"/>
  <c r="G15"/>
  <c r="E15"/>
  <c r="C15"/>
  <c r="L13"/>
  <c r="J13"/>
  <c r="H13"/>
  <c r="F13"/>
  <c r="O27" i="299"/>
  <c r="M27"/>
  <c r="L27"/>
  <c r="K27"/>
  <c r="J27"/>
  <c r="I27"/>
  <c r="H27"/>
  <c r="G27"/>
  <c r="F27"/>
  <c r="N21"/>
  <c r="N20"/>
  <c r="E20"/>
  <c r="N19"/>
  <c r="N27" s="1"/>
  <c r="E19"/>
  <c r="E27" s="1"/>
  <c r="L34" i="285"/>
  <c r="K34"/>
  <c r="J34"/>
  <c r="F34"/>
  <c r="D34"/>
  <c r="G33"/>
  <c r="M33" s="1"/>
  <c r="N33" s="1"/>
  <c r="E33"/>
  <c r="I32"/>
  <c r="M32" s="1"/>
  <c r="N32" s="1"/>
  <c r="H32"/>
  <c r="G32"/>
  <c r="E32"/>
  <c r="I31"/>
  <c r="M31" s="1"/>
  <c r="N31" s="1"/>
  <c r="H31"/>
  <c r="G31"/>
  <c r="E31"/>
  <c r="I30"/>
  <c r="M30" s="1"/>
  <c r="N30" s="1"/>
  <c r="H30"/>
  <c r="G30"/>
  <c r="E30"/>
  <c r="I29"/>
  <c r="M29" s="1"/>
  <c r="N29" s="1"/>
  <c r="H29"/>
  <c r="G29"/>
  <c r="E29"/>
  <c r="I28"/>
  <c r="M28" s="1"/>
  <c r="N28" s="1"/>
  <c r="H28"/>
  <c r="G28"/>
  <c r="G34" s="1"/>
  <c r="E28"/>
  <c r="I27"/>
  <c r="M27" s="1"/>
  <c r="N27" s="1"/>
  <c r="H27"/>
  <c r="E27"/>
  <c r="I26"/>
  <c r="H26"/>
  <c r="H34" s="1"/>
  <c r="G26"/>
  <c r="E26"/>
  <c r="E34" s="1"/>
  <c r="I19"/>
  <c r="I18"/>
  <c r="I17"/>
  <c r="E44" i="302" l="1"/>
  <c r="E43"/>
  <c r="V38"/>
  <c r="V49" s="1"/>
  <c r="N31" i="300"/>
  <c r="M26" i="285"/>
  <c r="I34"/>
  <c r="N26" l="1"/>
  <c r="M34"/>
  <c r="N34" s="1"/>
</calcChain>
</file>

<file path=xl/sharedStrings.xml><?xml version="1.0" encoding="utf-8"?>
<sst xmlns="http://schemas.openxmlformats.org/spreadsheetml/2006/main" count="2464" uniqueCount="683">
  <si>
    <t>Sl. No.</t>
  </si>
  <si>
    <t>District</t>
  </si>
  <si>
    <t>Block</t>
  </si>
  <si>
    <t>FNGO</t>
  </si>
  <si>
    <t>Treatable Area</t>
  </si>
  <si>
    <t>Kalahandi</t>
  </si>
  <si>
    <t>Th. Rampur</t>
  </si>
  <si>
    <t>Gram Vikas</t>
  </si>
  <si>
    <t>Antodaya</t>
  </si>
  <si>
    <t>Lanjigarh</t>
  </si>
  <si>
    <t>GVT</t>
  </si>
  <si>
    <t>Koraput</t>
  </si>
  <si>
    <t>Laxmipur</t>
  </si>
  <si>
    <t>CYSD</t>
  </si>
  <si>
    <t>Bandhugaon</t>
  </si>
  <si>
    <t>RASS</t>
  </si>
  <si>
    <t>Narayanpatna</t>
  </si>
  <si>
    <t>Vikas</t>
  </si>
  <si>
    <t>Gajapati</t>
  </si>
  <si>
    <t>Gumma</t>
  </si>
  <si>
    <t>CCD</t>
  </si>
  <si>
    <t>Rayagada</t>
  </si>
  <si>
    <t>SWWS</t>
  </si>
  <si>
    <t>Nuagada</t>
  </si>
  <si>
    <t>PEACE</t>
  </si>
  <si>
    <t>JKP</t>
  </si>
  <si>
    <t>Kandhamal</t>
  </si>
  <si>
    <t>Tumudibandha</t>
  </si>
  <si>
    <t>PRDATA</t>
  </si>
  <si>
    <t>Kotagarh</t>
  </si>
  <si>
    <t>Jagruti</t>
  </si>
  <si>
    <t>Orissa Tribal Empowerment &amp; Livelihoods Programme (OTELP)</t>
  </si>
  <si>
    <t>Tretable Area:</t>
  </si>
  <si>
    <t>Forest Treatable Area:</t>
  </si>
  <si>
    <t>No. of Villages within the MWS:</t>
  </si>
  <si>
    <t>No. of VLSCs within the MWS:</t>
  </si>
  <si>
    <t>No. of SHGs:</t>
  </si>
  <si>
    <t>No. of VSS:</t>
  </si>
  <si>
    <t>No. of UG:</t>
  </si>
  <si>
    <t>Household Details:</t>
  </si>
  <si>
    <t>ST</t>
  </si>
  <si>
    <t>SC</t>
  </si>
  <si>
    <t>Others</t>
  </si>
  <si>
    <t>Landless</t>
  </si>
  <si>
    <t>Vulnerable/Destitute:</t>
  </si>
  <si>
    <t>Population Details</t>
  </si>
  <si>
    <t>ST Male</t>
  </si>
  <si>
    <t>SC Male</t>
  </si>
  <si>
    <t>Others Male</t>
  </si>
  <si>
    <t>ST Female</t>
  </si>
  <si>
    <t>SC Female</t>
  </si>
  <si>
    <t>Others Female</t>
  </si>
  <si>
    <t>Financial Progress</t>
  </si>
  <si>
    <t>Programme Component</t>
  </si>
  <si>
    <t>Unit Cost (in Rs.)</t>
  </si>
  <si>
    <t>Unit</t>
  </si>
  <si>
    <t>Financial Year Wise Expenditure (in Rs. Lakhs)</t>
  </si>
  <si>
    <t>2004-05</t>
  </si>
  <si>
    <t>2005-06</t>
  </si>
  <si>
    <t>2006-07</t>
  </si>
  <si>
    <t>2007-08</t>
  </si>
  <si>
    <t>2008-09</t>
  </si>
  <si>
    <t>2009-10</t>
  </si>
  <si>
    <t>2010-11</t>
  </si>
  <si>
    <t>Total</t>
  </si>
  <si>
    <t>% of Exp.</t>
  </si>
  <si>
    <t>Hectare</t>
  </si>
  <si>
    <t>One Time Cycle Grant</t>
  </si>
  <si>
    <t>Lumpsum</t>
  </si>
  <si>
    <t>TOTAL</t>
  </si>
  <si>
    <t>Umakanta Nayak</t>
  </si>
  <si>
    <t>One time cycle Grant</t>
  </si>
  <si>
    <t xml:space="preserve">Receipt (in Rs. ) </t>
  </si>
  <si>
    <t>Allocation (in Rs. Lakhs</t>
  </si>
  <si>
    <t>Unit cost (in Rs.)</t>
  </si>
  <si>
    <t>Financial Progress:</t>
  </si>
  <si>
    <t>Total Female</t>
  </si>
  <si>
    <t>Total Male</t>
  </si>
  <si>
    <t xml:space="preserve">Population Details: </t>
  </si>
  <si>
    <t>Land Less</t>
  </si>
  <si>
    <t xml:space="preserve">Others </t>
  </si>
  <si>
    <t xml:space="preserve">Household Details: </t>
  </si>
  <si>
    <t xml:space="preserve">No. of VSS: </t>
  </si>
  <si>
    <t>No. of VLSCs with yhe MWS:</t>
  </si>
  <si>
    <t>telephone number if any)</t>
  </si>
  <si>
    <t xml:space="preserve">Contact Address: (Including </t>
  </si>
  <si>
    <t>Forest Treatable Area</t>
  </si>
  <si>
    <t xml:space="preserve">Orissa Tribal Empowerment&amp; Livelihoods Programme (OTELP) </t>
  </si>
  <si>
    <t>Administrative Cost</t>
  </si>
  <si>
    <t>Treatable
 Area</t>
  </si>
  <si>
    <t>Forest 
Treatable Area</t>
  </si>
  <si>
    <t>No of Villages 
within the MWS</t>
  </si>
  <si>
    <t>No of VLSC</t>
  </si>
  <si>
    <t>No of SHGs</t>
  </si>
  <si>
    <t>No of VSS</t>
  </si>
  <si>
    <t>No of UG</t>
  </si>
  <si>
    <t>Household Details</t>
  </si>
  <si>
    <t>Land less</t>
  </si>
  <si>
    <t>Vulnerable</t>
  </si>
  <si>
    <t>Sc Male</t>
  </si>
  <si>
    <t>Sc Female</t>
  </si>
  <si>
    <t>Unit Cost</t>
  </si>
  <si>
    <t>Allocation
(in Rs Lakhs)</t>
  </si>
  <si>
    <t>Receipt</t>
  </si>
  <si>
    <t>Expenditure ( in Rs )</t>
  </si>
  <si>
    <t>Year 1</t>
  </si>
  <si>
    <t>Year 2</t>
  </si>
  <si>
    <t>Year 3</t>
  </si>
  <si>
    <t>Year 4</t>
  </si>
  <si>
    <t>Year 5</t>
  </si>
  <si>
    <t>Year 6</t>
  </si>
  <si>
    <t>Year 7</t>
  </si>
  <si>
    <t>% of Exp</t>
  </si>
  <si>
    <t>One time Cycle Grant</t>
  </si>
  <si>
    <t>Orissa Tribal Empowerment  &amp; Livelihoods Programme (OTELP)</t>
  </si>
  <si>
    <t>Forest treatable Area</t>
  </si>
  <si>
    <t>No of Villages Within the MWS</t>
  </si>
  <si>
    <t>No of VLSCs within the MWS</t>
  </si>
  <si>
    <t>House hold Details</t>
  </si>
  <si>
    <t>Vulnerable/Destitute</t>
  </si>
  <si>
    <t>APL</t>
  </si>
  <si>
    <t>ST  Female</t>
  </si>
  <si>
    <t>BPL</t>
  </si>
  <si>
    <t>Progress Component</t>
  </si>
  <si>
    <t>Unit cost (in Rupees )</t>
  </si>
  <si>
    <t>Allocation Rs Lakhs</t>
  </si>
  <si>
    <t>Receipt (in Rs Lakhs)</t>
  </si>
  <si>
    <t>Orissa Tribal Empowerment &amp; Livelyhood Programme (OTELP)</t>
  </si>
  <si>
    <t>Treateable Area</t>
  </si>
  <si>
    <t>No of SHG</t>
  </si>
  <si>
    <t>No of vss</t>
  </si>
  <si>
    <t>Vulnerable/Destitude:</t>
  </si>
  <si>
    <t>Population Details:</t>
  </si>
  <si>
    <t>ST male</t>
  </si>
  <si>
    <t>Unit Cost(in Rs)</t>
  </si>
  <si>
    <t>Allocation(in Rs Lakh)</t>
  </si>
  <si>
    <t>Receipt(in Lakh)</t>
  </si>
  <si>
    <t>Financial Year Wise Expenditure (in Rs Lakh)</t>
  </si>
  <si>
    <t>% of exp</t>
  </si>
  <si>
    <t>Hec</t>
  </si>
  <si>
    <t>2010-2011</t>
  </si>
  <si>
    <t>2009-2010</t>
  </si>
  <si>
    <t>2008-2009</t>
  </si>
  <si>
    <t>2007-2008</t>
  </si>
  <si>
    <t>2006-2007</t>
  </si>
  <si>
    <t>2005-2006</t>
  </si>
  <si>
    <t>2004-2005</t>
  </si>
  <si>
    <t>Receipt( in Rs.Lakhs)</t>
  </si>
  <si>
    <t>Allocation in Rs.Lakhs)</t>
  </si>
  <si>
    <t>Unit Cost in Rs</t>
  </si>
  <si>
    <t>Porgramme Component</t>
  </si>
  <si>
    <t>Population detail</t>
  </si>
  <si>
    <t>Household detail</t>
  </si>
  <si>
    <t>No of VLSCs within the MWs</t>
  </si>
  <si>
    <t>No of the villages within the MWs</t>
  </si>
  <si>
    <t>ORISSA TRIBAL EMPOWERMENT &amp; LIVILIHOODS PROGRAMME</t>
  </si>
  <si>
    <t>Vulnerable Destitute:</t>
  </si>
  <si>
    <t>Allocation (in Rs. Lakhs)</t>
  </si>
  <si>
    <t>No of UG:</t>
  </si>
  <si>
    <t>No. of Villages within the MWS</t>
  </si>
  <si>
    <t>No. of VSS</t>
  </si>
  <si>
    <t>No. of UG</t>
  </si>
  <si>
    <t>Other Female</t>
  </si>
  <si>
    <t>No of SHGs:</t>
  </si>
  <si>
    <t>Receipt (in Rs. Lakhs)</t>
  </si>
  <si>
    <t>One time Cycle grant</t>
  </si>
  <si>
    <t>Daringibadi</t>
  </si>
  <si>
    <t>CPSW,Daringibadi,Ph-II</t>
  </si>
  <si>
    <t>Balliguda</t>
  </si>
  <si>
    <t>PRADAN,Baliguda,Ph-II</t>
  </si>
  <si>
    <t>K.Nuagaon</t>
  </si>
  <si>
    <t>No. of SHG</t>
  </si>
  <si>
    <t>Unit Cost (In Rs.)</t>
  </si>
  <si>
    <t>PRADAN,K.Nuagaon,Ph-II</t>
  </si>
  <si>
    <t>Nawrangpur</t>
  </si>
  <si>
    <t>Papdahandi</t>
  </si>
  <si>
    <t>IRDMS,Papdahandi</t>
  </si>
  <si>
    <t>Jharigaon</t>
  </si>
  <si>
    <t>IYSARA,Jharigaon</t>
  </si>
  <si>
    <t>Kosagumuda</t>
  </si>
  <si>
    <t>RCDC,Kosagumda</t>
  </si>
  <si>
    <t>Malkanagiri</t>
  </si>
  <si>
    <t>Mathili</t>
  </si>
  <si>
    <t>ODC, Mathili</t>
  </si>
  <si>
    <t>Khairput</t>
  </si>
  <si>
    <t>HARMONY, Khairput</t>
  </si>
  <si>
    <t>Kudumuluguma</t>
  </si>
  <si>
    <t>PARIVARTTAN, Kudumuluguma</t>
  </si>
  <si>
    <t>BISSAMCUTTACK</t>
  </si>
  <si>
    <t>AKSSUS,Bissamcuttack</t>
  </si>
  <si>
    <t>GUDARI</t>
  </si>
  <si>
    <t>BISWA,Gudari</t>
  </si>
  <si>
    <t>MUNIGUDA</t>
  </si>
  <si>
    <t>FARR,Muniguda</t>
  </si>
  <si>
    <t>KASHIPUR</t>
  </si>
  <si>
    <t>SHAKTI,Kasipur</t>
  </si>
  <si>
    <t>CHANDRAPUR</t>
  </si>
  <si>
    <t>USO,Chandrapur</t>
  </si>
  <si>
    <t>Expenditure (In Rs Lakhs)</t>
  </si>
  <si>
    <t>Receipt (In Rs Lakhs)</t>
  </si>
  <si>
    <t>Allocation (In Rs Lakhs)</t>
  </si>
  <si>
    <t>SC male</t>
  </si>
  <si>
    <t>Vulnerable / Destitude</t>
  </si>
  <si>
    <t>No fo UG:</t>
  </si>
  <si>
    <t>No of VSSs:</t>
  </si>
  <si>
    <t>No of VLSCs within MWSs:</t>
  </si>
  <si>
    <t>No. of villages within MWSs:</t>
  </si>
  <si>
    <t>ND</t>
  </si>
  <si>
    <t>Treatable Area:</t>
  </si>
  <si>
    <t>Orissa Tribal Empowerment &amp; Livlihoods Programme (OTELP)</t>
  </si>
  <si>
    <t>Contact Address: (Including telephone number if any )</t>
  </si>
  <si>
    <t>No. of VLSC within the MWS</t>
  </si>
  <si>
    <t>ST famale</t>
  </si>
  <si>
    <t>SC famale</t>
  </si>
  <si>
    <t>Others famale</t>
  </si>
  <si>
    <t>Total famale</t>
  </si>
  <si>
    <t>Financial year wise expenditure</t>
  </si>
  <si>
    <t>Semiliguda</t>
  </si>
  <si>
    <t>Gram Vikas, Lanjigarh,Ph-II</t>
  </si>
  <si>
    <t>Th.Rampur</t>
  </si>
  <si>
    <t>Gram Vikas, Th.Rampur,Ph-II</t>
  </si>
  <si>
    <t>Dasamantpur</t>
  </si>
  <si>
    <t>CYSD , Dasmantapur,Ph-II</t>
  </si>
  <si>
    <t>Pottangi</t>
  </si>
  <si>
    <t>LAVS, Pottangi,Ph-II</t>
  </si>
  <si>
    <t>TSRD, Semiliguda,Ph-II</t>
  </si>
  <si>
    <t>Nandapur</t>
  </si>
  <si>
    <t>TSRD, Nandapur,Ph-II</t>
  </si>
  <si>
    <t>Mohana</t>
  </si>
  <si>
    <t>Gram Vikash,Mohana,Ph-II</t>
  </si>
  <si>
    <t>R.Udayagiri</t>
  </si>
  <si>
    <t>SWWS, R. Udayagiri,Ph-II</t>
  </si>
  <si>
    <t>Vulnerable/ Destitute:</t>
  </si>
  <si>
    <t>Orissa Tribal Empowerment &amp; Livelihood Programme (OTELP)</t>
  </si>
  <si>
    <t xml:space="preserve">No. of Villages within the MWS: </t>
  </si>
  <si>
    <t>Unit Cost ( in Rs.)</t>
  </si>
  <si>
    <t>2011-2012</t>
  </si>
  <si>
    <t>2012-2013</t>
  </si>
  <si>
    <t>2013-2014</t>
  </si>
  <si>
    <t>TOTAL:</t>
  </si>
  <si>
    <t>Total Rs</t>
  </si>
  <si>
    <t>Lumsum</t>
  </si>
  <si>
    <t>Lakhs/Annum</t>
  </si>
  <si>
    <t>Office Runnng Cost</t>
  </si>
  <si>
    <t>Travelling Allowance to FNGO Rep</t>
  </si>
  <si>
    <t>Remunaration to Community Mobilisers</t>
  </si>
  <si>
    <t>Travelling Allowance to WDT Members</t>
  </si>
  <si>
    <t>Remunaration to WDT Members</t>
  </si>
  <si>
    <t>Per hector</t>
  </si>
  <si>
    <t>Benificaries Skill Upgradiation</t>
  </si>
  <si>
    <t xml:space="preserve">Community Empowerment Management </t>
  </si>
  <si>
    <t>Year 7                    (2010-2011)</t>
  </si>
  <si>
    <t>Year 6                     (2009-2010)</t>
  </si>
  <si>
    <t>Year 5     (2008-2009)</t>
  </si>
  <si>
    <t>Year 4                   (2007-08)</t>
  </si>
  <si>
    <t>Year 3                  (2006-2007)</t>
  </si>
  <si>
    <t>Year 2  (2005-06)</t>
  </si>
  <si>
    <t>Year 1                        (2004-2005)</t>
  </si>
  <si>
    <t xml:space="preserve"> Expenditure (in Rs Lakhs)</t>
  </si>
  <si>
    <t>Volnerable/Destitute</t>
  </si>
  <si>
    <t>Head office:-   CENTRE FOR COMMUNITY DEVELOPMENT,                           SRIDHARNAGAR, NEAR BALJI KALYANI MANDAM,                                                      PARLAKHEMUNDI-GAJAPTI-Dist-Orissa-761200</t>
  </si>
  <si>
    <t>Head office- 06815-222516</t>
  </si>
  <si>
    <t>Contact Adress                                               (including telephone Number)</t>
  </si>
  <si>
    <t>P.SS.SATYANARAYANA</t>
  </si>
  <si>
    <t>Name of the  FNGO Rep</t>
  </si>
  <si>
    <t>A.Jagannath Raju</t>
  </si>
  <si>
    <t>Name of the  FNGO Chief Functionery</t>
  </si>
  <si>
    <t>No of VDC/MWS</t>
  </si>
  <si>
    <t>Name of the  FNGO</t>
  </si>
  <si>
    <t>Form C: FNGO Fact Sheet</t>
  </si>
  <si>
    <t>ORISSA TRIBAL EMPOWERMENT &amp; LIVELIHOOD PROGRAMME</t>
  </si>
  <si>
    <t>FORM C: FNGO Fact Sheet</t>
  </si>
  <si>
    <t>Name of the FNGO:</t>
  </si>
  <si>
    <t>Janakalyan Pratisthan</t>
  </si>
  <si>
    <t>No. of VDC MWS:</t>
  </si>
  <si>
    <t>Tretable area</t>
  </si>
  <si>
    <t xml:space="preserve">Forest tretable area </t>
  </si>
  <si>
    <t>640 Hect</t>
  </si>
  <si>
    <t>Name of the FNGO Chif Functionary:</t>
  </si>
  <si>
    <t>Mr. Durga Madhab Panda</t>
  </si>
  <si>
    <t>Name of the FNGO Rep.</t>
  </si>
  <si>
    <t>Contact Address of the FNGO (including telephone)</t>
  </si>
  <si>
    <r>
      <t>Head Office :</t>
    </r>
    <r>
      <rPr>
        <sz val="11"/>
        <color indexed="8"/>
        <rFont val="Cambria"/>
        <family val="1"/>
      </rPr>
      <t xml:space="preserve"> Shivananda Nagar, Near ITDA Colony, Paralakhemundi, Dist Gajapati</t>
    </r>
  </si>
  <si>
    <r>
      <rPr>
        <u/>
        <sz val="11"/>
        <color indexed="8"/>
        <rFont val="Cambria"/>
        <family val="1"/>
      </rPr>
      <t>Field Office</t>
    </r>
    <r>
      <rPr>
        <sz val="11"/>
        <color indexed="8"/>
        <rFont val="Cambria"/>
        <family val="1"/>
      </rPr>
      <t xml:space="preserve"> : Janakalyan Pratisthan, AT - R. Udayagiri ( Patro Street), Po - R. Udayagiri, Dist -  Gajapati</t>
    </r>
  </si>
  <si>
    <t>No of village within the MWS:</t>
  </si>
  <si>
    <t>No. of the VLSc within the MWSs:</t>
  </si>
  <si>
    <t>No.of VSS</t>
  </si>
  <si>
    <t xml:space="preserve">ST Female </t>
  </si>
  <si>
    <t xml:space="preserve">Total Female </t>
  </si>
  <si>
    <t>Expenditure (in Rs. Lakhs)</t>
  </si>
  <si>
    <t>Year 1 (04-05)</t>
  </si>
  <si>
    <t>Year 2 (05-06)</t>
  </si>
  <si>
    <t>Year 3 (06-07)</t>
  </si>
  <si>
    <t>Year 4          (07-08)</t>
  </si>
  <si>
    <t>Year 5           (08-09)</t>
  </si>
  <si>
    <t>Year 6         (09-10)</t>
  </si>
  <si>
    <t>Year 7        (10-11)</t>
  </si>
  <si>
    <t xml:space="preserve">Community Empowerment and Management </t>
  </si>
  <si>
    <t xml:space="preserve">Per Hectare   </t>
  </si>
  <si>
    <t xml:space="preserve">Beneficiary Skill upgradition </t>
  </si>
  <si>
    <t>Per Hectare</t>
  </si>
  <si>
    <t>Honorarium  to WDT Members</t>
  </si>
  <si>
    <t>Laks/Annum</t>
  </si>
  <si>
    <t xml:space="preserve">Travelling Allowance to WTD Members </t>
  </si>
  <si>
    <t xml:space="preserve">Remuneration to Community Mobilizers Members </t>
  </si>
  <si>
    <t>Travelling Allowance to FNGO Rep.</t>
  </si>
  <si>
    <t>Office Running Cost</t>
  </si>
  <si>
    <t xml:space="preserve">One time Cycel Grant </t>
  </si>
  <si>
    <t>From FNGO Consolidation Sheet</t>
  </si>
  <si>
    <t>Name of the FNGO</t>
  </si>
  <si>
    <t>No of VDCs/MWs</t>
  </si>
  <si>
    <t>Name of the FNGO Chief Functionary</t>
  </si>
  <si>
    <t>Mr.Bhikari Charana Behera</t>
  </si>
  <si>
    <t>Name of the FNGO Representative</t>
  </si>
  <si>
    <t>Contact Address of the Chief Functionary including Telephone Number if any</t>
  </si>
  <si>
    <t>Financial Year wise Expenditure (in Rs.Lakhs</t>
  </si>
  <si>
    <t>Total Expenditure</t>
  </si>
  <si>
    <t>% of Expenditure</t>
  </si>
  <si>
    <t>Community Empowerment &amp; Management</t>
  </si>
  <si>
    <t>Per hec</t>
  </si>
  <si>
    <t>Benificiary Skill Upgradation</t>
  </si>
  <si>
    <t>Remuneration to WDT Members</t>
  </si>
  <si>
    <t>Remuneration to Community Mobilizers Members</t>
  </si>
  <si>
    <t>Travelling Allowance to FNGO representative</t>
  </si>
  <si>
    <t>Office Running cost</t>
  </si>
  <si>
    <t>Name of theFNGO</t>
  </si>
  <si>
    <t>No of VDC /MWS</t>
  </si>
  <si>
    <t>1400 Hect.</t>
  </si>
  <si>
    <t>Name of the FNGO Chief Functionery</t>
  </si>
  <si>
    <t>D.Jagannath Raju</t>
  </si>
  <si>
    <t>Name of the FNGO reprentative</t>
  </si>
  <si>
    <t>U.C.Mallick</t>
  </si>
  <si>
    <t>Name of the Address of the FNGO</t>
  </si>
  <si>
    <t>Near DFO office,paralakhemundi.Gajapati,761200</t>
  </si>
  <si>
    <t>At:Ramasagar,Po:Paralakhemundi,Gajapati,761200</t>
  </si>
  <si>
    <t>No of vi llage within the MWSs</t>
  </si>
  <si>
    <t>No of VLSC within the MWSs</t>
  </si>
  <si>
    <t>Community Empowerment Management</t>
  </si>
  <si>
    <t>Beneficiary Skill Upgradation</t>
  </si>
  <si>
    <t>Travelling Allowances to WDT members</t>
  </si>
  <si>
    <t>Remuneration toComuunity mobilisers  Members</t>
  </si>
  <si>
    <t>Travelling Allowances to FNGO Rep</t>
  </si>
  <si>
    <t>Form C: FNGO Fact Sheet AKSSUS</t>
  </si>
  <si>
    <t>AKSSUS</t>
  </si>
  <si>
    <t>No. of VDC/ MWS:</t>
  </si>
  <si>
    <t>5019.6 Hect</t>
  </si>
  <si>
    <t>786 Hect</t>
  </si>
  <si>
    <t>Name of the FNGO Chief Functionary:</t>
  </si>
  <si>
    <t>Gobardhan Behera</t>
  </si>
  <si>
    <t>Gobardhan Behera , President</t>
  </si>
  <si>
    <t>Contact Address of the FNGO (including telephone number if any)</t>
  </si>
  <si>
    <r>
      <t xml:space="preserve">Head Office </t>
    </r>
    <r>
      <rPr>
        <b/>
        <sz val="10"/>
        <rFont val="Arial"/>
        <family val="2"/>
      </rPr>
      <t>At:- Papadamu, Po:- Kumardhamuni, Via:- Bissam Cuttack, Dist:- Rayagada</t>
    </r>
  </si>
  <si>
    <r>
      <t>Field Office :- At/Po:-</t>
    </r>
    <r>
      <rPr>
        <b/>
        <sz val="10"/>
        <rFont val="Arial"/>
        <family val="2"/>
      </rPr>
      <t xml:space="preserve"> Chatikona, Via:- Bissam Cuttack, Dist:- Rayagada, Ph No:- 06863243685</t>
    </r>
  </si>
  <si>
    <t>No. of Villages within the MWSs:</t>
  </si>
  <si>
    <t>No. of VLSCs within the MWSs:</t>
  </si>
  <si>
    <t>Year 1 (2009-2010)</t>
  </si>
  <si>
    <t>Year 2 (2010-2011)</t>
  </si>
  <si>
    <t>Form C: FNGO Fact Sheet BISWA</t>
  </si>
  <si>
    <t>BISWA</t>
  </si>
  <si>
    <t>Dr. K.C Malick</t>
  </si>
  <si>
    <t>Mr. K.Y Reedy</t>
  </si>
  <si>
    <r>
      <t xml:space="preserve">Head Office:
</t>
    </r>
    <r>
      <rPr>
        <b/>
        <sz val="10"/>
        <rFont val="Arial"/>
        <family val="2"/>
      </rPr>
      <t>Bharat Integrated Socialwelfare Agency (BISWA)
At: Danipali, PO: Budharaja
Sambalpur, Orissa
Tel: 0663-2533597, 09437056453</t>
    </r>
  </si>
  <si>
    <r>
      <t xml:space="preserve">Field Office:
</t>
    </r>
    <r>
      <rPr>
        <b/>
        <sz val="10"/>
        <rFont val="Arial"/>
        <family val="2"/>
      </rPr>
      <t>BISWA Office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>PHC Colony,
Gudari, Rayagada-765026</t>
    </r>
  </si>
  <si>
    <t>Lakhs/ Annum</t>
  </si>
  <si>
    <t>Form C: FNGO Fact Sheet FARR</t>
  </si>
  <si>
    <t>FARR</t>
  </si>
  <si>
    <t>Mrs. Pramila Swain</t>
  </si>
  <si>
    <t>Mr. Bijaya Kumar Baboo</t>
  </si>
  <si>
    <r>
      <t>Head Office</t>
    </r>
    <r>
      <rPr>
        <b/>
        <sz val="10"/>
        <rFont val="Arial"/>
        <family val="2"/>
      </rPr>
      <t xml:space="preserve">   FARR  At- Bhaliapadar, Po/Via-Muniguda ,  ph No-9437013094, 9438449470 </t>
    </r>
  </si>
  <si>
    <r>
      <t xml:space="preserve">Field Office </t>
    </r>
    <r>
      <rPr>
        <b/>
        <sz val="10"/>
        <rFont val="Arial"/>
        <family val="2"/>
      </rPr>
      <t xml:space="preserve">FARR  At- Bhaliapadar, Po/Via-Muniguda ,   ph No-9437013094, 9438449470 </t>
    </r>
  </si>
  <si>
    <t>Community Empowerment and Management</t>
  </si>
  <si>
    <t>One time Cycel Grant</t>
  </si>
  <si>
    <t>Form C: FNGO Fact Sheet SHAKTI</t>
  </si>
  <si>
    <t>Shakti Organisation</t>
  </si>
  <si>
    <t>Akhil Ranjan Panda</t>
  </si>
  <si>
    <r>
      <t xml:space="preserve">Head Office   </t>
    </r>
    <r>
      <rPr>
        <b/>
        <sz val="10"/>
        <rFont val="Arial"/>
        <family val="2"/>
      </rPr>
      <t>Shakti Organisation, Sai Priya Nagar,  2nd lane,  Po/ Dist  Rayagada, Odisha, India.  Phone/ Fax  916856 225762</t>
    </r>
  </si>
  <si>
    <r>
      <t xml:space="preserve">Field Office  </t>
    </r>
    <r>
      <rPr>
        <b/>
        <sz val="10"/>
        <rFont val="Arial"/>
        <family val="2"/>
      </rPr>
      <t xml:space="preserve">  Shakti Organisation, At/ Po  Sieademal, via Kasipur, Dist Rayagada, Odisha, India.</t>
    </r>
  </si>
  <si>
    <t>Form C: FNGO Fact Sheet USO</t>
  </si>
  <si>
    <t>USO</t>
  </si>
  <si>
    <t>Mr. Pravata Kumara Satpathy</t>
  </si>
  <si>
    <t>Mr. Pravata Kumar Satpathy</t>
  </si>
  <si>
    <r>
      <t>Head Office:
USO</t>
    </r>
    <r>
      <rPr>
        <b/>
        <sz val="10"/>
        <rFont val="Arial"/>
        <family val="2"/>
      </rPr>
      <t xml:space="preserve"> FNGO
At- B. Devadala,
Po- Komotalapeta
Dist:-Rayagada
Odisha- 765017.
Ph- +916856-233 349/ 233465
Mob.- 9437033349</t>
    </r>
  </si>
  <si>
    <r>
      <t xml:space="preserve">Field Office
</t>
    </r>
    <r>
      <rPr>
        <b/>
        <sz val="10"/>
        <rFont val="Arial"/>
        <family val="2"/>
      </rPr>
      <t>At- B. Devadala,
Po- Komotalapeta
Dist:-Rayagada
Odisha- 765017.
Ph- +916856-233 349/ 233465
Mob.- 9437033349</t>
    </r>
  </si>
  <si>
    <t>Lakh/Anum</t>
  </si>
  <si>
    <t>Travelling Allowance  to FNGO Rep.</t>
  </si>
  <si>
    <t>Remunaration to community Mobilisers</t>
  </si>
  <si>
    <t>Travelling Allowance  to WDT Members</t>
  </si>
  <si>
    <t>Remunaration to WDT member</t>
  </si>
  <si>
    <t>% exp</t>
  </si>
  <si>
    <t>Year-7</t>
  </si>
  <si>
    <t>Year-6</t>
  </si>
  <si>
    <t>Year-5</t>
  </si>
  <si>
    <t>Year-4</t>
  </si>
  <si>
    <t>Year-3</t>
  </si>
  <si>
    <t>Year-2</t>
  </si>
  <si>
    <t>Year-1</t>
  </si>
  <si>
    <t>Expenditure (in Lakh)</t>
  </si>
  <si>
    <t>Reciept (in lakh)</t>
  </si>
  <si>
    <t>Allocation (in lakhs</t>
  </si>
  <si>
    <t>Programme Compont</t>
  </si>
  <si>
    <t xml:space="preserve"> Female</t>
  </si>
  <si>
    <t xml:space="preserve"> Male</t>
  </si>
  <si>
    <t>Other Male</t>
  </si>
  <si>
    <t>Vulnereble</t>
  </si>
  <si>
    <t>House Hold Details</t>
  </si>
  <si>
    <t>No of VLSC within the MWS</t>
  </si>
  <si>
    <t>No of Villages within the MWS</t>
  </si>
  <si>
    <t>At/Po-Kianga,via- Mathili Dist- Malkangiri</t>
  </si>
  <si>
    <t>Field Office</t>
  </si>
  <si>
    <t xml:space="preserve"> Head Office,122 Kedargouri Bihar,BBSR</t>
  </si>
  <si>
    <t>Aswini Kumar Tripathy</t>
  </si>
  <si>
    <t xml:space="preserve">Name of the FNGO Reperesentative </t>
  </si>
  <si>
    <t>Khetra Mohan Khuntia</t>
  </si>
  <si>
    <t xml:space="preserve">Name of the Chief  Functionary </t>
  </si>
  <si>
    <t>ODC</t>
  </si>
  <si>
    <t xml:space="preserve">Name of theFNGO: </t>
  </si>
  <si>
    <t>Form-C : FNGO Fact Sheet</t>
  </si>
  <si>
    <t>ORISSA TRIBAL EMPOWERMENT AND LIVELIHOODS PROGRAMME (OTELP)</t>
  </si>
  <si>
    <t>FORM-C FNGO FACT SHEET</t>
  </si>
  <si>
    <t>NAME OF THE FNGO</t>
  </si>
  <si>
    <t>HARMONY</t>
  </si>
  <si>
    <t>No. of VDC/MWS</t>
  </si>
  <si>
    <t>Name of the FNGO chief functionary</t>
  </si>
  <si>
    <t>Durga Prasad Tripathy</t>
  </si>
  <si>
    <t>Contact Address of the FNGO(including telephone and contact address</t>
  </si>
  <si>
    <t>Household details</t>
  </si>
  <si>
    <t>OC</t>
  </si>
  <si>
    <t>Population details</t>
  </si>
  <si>
    <t>Unit cost(in Rs.)</t>
  </si>
  <si>
    <t>Remuneration of WDT Members</t>
  </si>
  <si>
    <t>Lakhs/annum</t>
  </si>
  <si>
    <t>Travelling Allowance of WDT Members</t>
  </si>
  <si>
    <t>Remuneration of the Community Mobilizer Members</t>
  </si>
  <si>
    <t>Travelling allowance to FNGO Representative</t>
  </si>
  <si>
    <t>Office running cost</t>
  </si>
  <si>
    <t>One time cycle grant</t>
  </si>
  <si>
    <t>ORISSA TRIBAL EMPOWERMENT &amp; LIVELIHOODS PROGRAMME ( OTELP )</t>
  </si>
  <si>
    <t>Form-C: MWS Fact Sheet</t>
  </si>
  <si>
    <t>Parivarttan</t>
  </si>
  <si>
    <t>No Of VDC/MWS</t>
  </si>
  <si>
    <t>Tretable Area</t>
  </si>
  <si>
    <t>Forest Tretable Area</t>
  </si>
  <si>
    <t>Mr Nityananda Pradhan</t>
  </si>
  <si>
    <t xml:space="preserve">Contact Address of FNGO (Including tel.no.) </t>
  </si>
  <si>
    <r>
      <rPr>
        <u/>
        <sz val="11"/>
        <color indexed="8"/>
        <rFont val="Calibri"/>
        <family val="2"/>
      </rPr>
      <t xml:space="preserve">Coordination office </t>
    </r>
    <r>
      <rPr>
        <sz val="11"/>
        <color theme="1"/>
        <rFont val="Calibri"/>
        <family val="2"/>
        <scheme val="minor"/>
      </rPr>
      <t xml:space="preserve">               Parivarttan                                            At/po- Sambaiguda                                                         Dist - Malkangiri                                        Tel. no.-06861 230959     </t>
    </r>
  </si>
  <si>
    <t>No of the village within the MWS</t>
  </si>
  <si>
    <t>No of the VLSC within the MWS</t>
  </si>
  <si>
    <t>No of  SHG</t>
  </si>
  <si>
    <t>No of UG.</t>
  </si>
  <si>
    <t>ST:</t>
  </si>
  <si>
    <t>SC:</t>
  </si>
  <si>
    <t>Others:</t>
  </si>
  <si>
    <t>Total:</t>
  </si>
  <si>
    <t>Volnerable/Destitute:</t>
  </si>
  <si>
    <t>ST Male:</t>
  </si>
  <si>
    <t>SC Male:</t>
  </si>
  <si>
    <t>Other Male:</t>
  </si>
  <si>
    <t>Total Male:</t>
  </si>
  <si>
    <t>ST Female:</t>
  </si>
  <si>
    <t>Total Female:</t>
  </si>
  <si>
    <t>Programme Component:</t>
  </si>
  <si>
    <t>Allocation(in Rs. Lakhs)</t>
  </si>
  <si>
    <t>Financial Year Wise Expenditure ( in Rs. Lakhs )</t>
  </si>
  <si>
    <t>Beneficiary skill upgradation</t>
  </si>
  <si>
    <t>Remunaration to WDT Member</t>
  </si>
  <si>
    <t>Travelling Allowance WDT Member</t>
  </si>
  <si>
    <t>Remunaration to community Mobilizer Member</t>
  </si>
  <si>
    <t>One time Cycle Grant:</t>
  </si>
  <si>
    <t>Form C : FNGO Fact Sheet</t>
  </si>
  <si>
    <t>IRDMS</t>
  </si>
  <si>
    <t>No of VDC / MWS:</t>
  </si>
  <si>
    <t>Bramhananda Rout</t>
  </si>
  <si>
    <t>Name of the FNGO Rep. :</t>
  </si>
  <si>
    <t>Ajit Panda</t>
  </si>
  <si>
    <t>Contact Address of the FNGO (including telephone nos if any)</t>
  </si>
  <si>
    <t>Head Office:
Plot No - 473 Nayapalli Kalinga Market
Bhubaneswar
Phone No. 0674-2546413</t>
  </si>
  <si>
    <t>Field Office:
Vetenary Campus, Papadahandi 
District. Nabarangpur
Phone 06858-242088</t>
  </si>
  <si>
    <t>lahks/Annum</t>
  </si>
  <si>
    <t>Remuneration to Community Mobilisers Members</t>
  </si>
  <si>
    <t>RCDC</t>
  </si>
  <si>
    <t>Kailash Dash</t>
  </si>
  <si>
    <t>S. Chandra Sekhar</t>
  </si>
  <si>
    <t xml:space="preserve">Head Office:
A /68, Saheed Nagar Bhubanewswar
Pin. 751007
Phone. 0674-2545250/2545252
</t>
  </si>
  <si>
    <t>Field Office:
Mother Tersa Marg
Nabarangpur 764059
Phone No. 06858-223792/223938</t>
  </si>
  <si>
    <t>IYSARA</t>
  </si>
  <si>
    <t>Gajendra Kumar Dash</t>
  </si>
  <si>
    <t>Head Office: 
At : Gandhi Nagar
Po/ District : Nabarangpur</t>
  </si>
  <si>
    <t>Field Office: 
At/Po: Jharigaon. District: Nabarangpur
Cell No: 94373-28707</t>
  </si>
  <si>
    <t>Form A: FNGO Fact Sheet</t>
  </si>
  <si>
    <t>GRAM VIKAS</t>
  </si>
  <si>
    <t>Name of the VDC/ MWS:</t>
  </si>
  <si>
    <t>Mr. Joe Madiath</t>
  </si>
  <si>
    <t>Name of the FNGO Rep.:</t>
  </si>
  <si>
    <t>Mr. Sanjay Kumar Nahak</t>
  </si>
  <si>
    <t>Contact Adress of the FNGO ( including telephone numbers if any) :</t>
  </si>
  <si>
    <r>
      <t xml:space="preserve">Head Office </t>
    </r>
    <r>
      <rPr>
        <b/>
        <sz val="8"/>
        <rFont val="Arial"/>
        <family val="2"/>
      </rPr>
      <t>Gram Vikas, Mahuda Village, Berhampur, Ganjam, PIN - 760002, Ph No. - 06802261866</t>
    </r>
  </si>
  <si>
    <r>
      <t xml:space="preserve">Field Office </t>
    </r>
    <r>
      <rPr>
        <b/>
        <sz val="8"/>
        <rFont val="Arial"/>
        <family val="2"/>
      </rPr>
      <t>Gram Vikas</t>
    </r>
    <r>
      <rPr>
        <b/>
        <u/>
        <sz val="8"/>
        <rFont val="Arial"/>
        <family val="2"/>
      </rPr>
      <t xml:space="preserve"> </t>
    </r>
    <r>
      <rPr>
        <b/>
        <sz val="8"/>
        <rFont val="Arial"/>
        <family val="2"/>
      </rPr>
      <t>At/Po - Kalyansingpur, Dist - Rayagada, PIN - 765016, Cell Phone No - +919439337877</t>
    </r>
  </si>
  <si>
    <t>Expenditure ( in Rs. Lakhs)</t>
  </si>
  <si>
    <t>Remuneration to Community Mobilizers</t>
  </si>
  <si>
    <t>Orissa Tribal Empowerment &amp; Livelihoods Programme(OTELP)
Form C : FNGO Fact Sheet</t>
  </si>
  <si>
    <t>Name of 
the FNGO</t>
  </si>
  <si>
    <t>GRAMIN VIKAS TRUST (GVT)</t>
  </si>
  <si>
    <t>No of 
VDC/MWS</t>
  </si>
  <si>
    <t>Name of the 
FNGO Chief Functionary</t>
  </si>
  <si>
    <t>Mr. Sunil Ch Saharam, IRS,                              Chief Executive Officer</t>
  </si>
  <si>
    <t>Name of the 
FNGO Rep</t>
  </si>
  <si>
    <t>Mr. Pitabash Mohanty,       Programme Officer</t>
  </si>
  <si>
    <t xml:space="preserve">Contact Address of the FNGO
 Including Telephone No </t>
  </si>
  <si>
    <t>Head Office : Kribhco Bhawan, 'A' Wing, 5th Floor, A-10, Sector-1, Noida - 201301 (UP), Tel : +91-1202535622                                           Web site : www.gvtindia.org</t>
  </si>
  <si>
    <t>Field Office : Purunapada, Near Radhakrishna Temple, Bhawanipatna, Kalahandi, Odisha, +91 9438111358</t>
  </si>
  <si>
    <t>Community Empowerment &amp; Mgmt</t>
  </si>
  <si>
    <t xml:space="preserve">Bebeficiary Skill Upgradation </t>
  </si>
  <si>
    <t>Remuneration to WDT</t>
  </si>
  <si>
    <t>Lakhs/Anum</t>
  </si>
  <si>
    <t>Travelling Exp to WDT</t>
  </si>
  <si>
    <t>Remuneration to CM</t>
  </si>
  <si>
    <t>Travelling Exp to FNGO Rep</t>
  </si>
  <si>
    <t>Office runnin Cost</t>
  </si>
  <si>
    <t>Lu,psum</t>
  </si>
  <si>
    <t>Joe Madiath</t>
  </si>
  <si>
    <t>Name of the FNGO Rep:</t>
  </si>
  <si>
    <t>Contact Address of the FNGO (including telephone Number if any)</t>
  </si>
  <si>
    <r>
      <t xml:space="preserve">Head Office:  </t>
    </r>
    <r>
      <rPr>
        <sz val="10"/>
        <rFont val="Arial"/>
        <family val="2"/>
      </rPr>
      <t xml:space="preserve">  GRAM VIKAS,  
MOHUDA  VILLAGE, 
Via - BERHAMPUR 
Dist - Ganjam - 760002
Ph no - 0680 2261863 - 869</t>
    </r>
  </si>
  <si>
    <r>
      <t xml:space="preserve">Field Office:  </t>
    </r>
    <r>
      <rPr>
        <sz val="10"/>
        <rFont val="Arial"/>
        <family val="2"/>
      </rPr>
      <t xml:space="preserve"> GRAM VIKAS, 
Kumudabahal Village
PO - Sirimaska
Via - Th.Rampur
Dist - Kalahandi - 766037
Mobile - 9439337884</t>
    </r>
  </si>
  <si>
    <t>Allocation (in Rs.)</t>
  </si>
  <si>
    <t>Receipt (in Rs)</t>
  </si>
  <si>
    <t>Sarat Kumar Sahoo</t>
  </si>
  <si>
    <t>Contact Adress of the FNGO ( including telephone numbers if any:</t>
  </si>
  <si>
    <t>Gram Vikas , Mohuda Village, Berhampur</t>
  </si>
  <si>
    <t>Gram Vikas, Kumudabahal, Th.Rampur</t>
  </si>
  <si>
    <t>Remuneration to Community Mobilixers Members</t>
  </si>
  <si>
    <t>Name 0f the FNGO :</t>
  </si>
  <si>
    <t>ANTODAYA</t>
  </si>
  <si>
    <t>No. of the VDC/MWS:</t>
  </si>
  <si>
    <t xml:space="preserve">Name of the FNGO Chief Functionary: </t>
  </si>
  <si>
    <t>Dillip Kumar Das</t>
  </si>
  <si>
    <t>Arjun Sahu</t>
  </si>
  <si>
    <r>
      <t>Head Office</t>
    </r>
    <r>
      <rPr>
        <sz val="11"/>
        <rFont val="Arial"/>
        <family val="2"/>
      </rPr>
      <t xml:space="preserve"> : At/Po. : Kaniguma</t>
    </r>
    <r>
      <rPr>
        <sz val="10"/>
        <rFont val="Arial"/>
        <family val="2"/>
      </rPr>
      <t xml:space="preserve">, Via. : Th. Rampur,  Dist. : Kalahandi </t>
    </r>
  </si>
  <si>
    <r>
      <t>Field Office</t>
    </r>
    <r>
      <rPr>
        <sz val="11"/>
        <rFont val="Arial"/>
        <family val="2"/>
      </rPr>
      <t xml:space="preserve"> At. : Mohangiri</t>
    </r>
    <r>
      <rPr>
        <sz val="10"/>
        <rFont val="Arial"/>
        <family val="2"/>
      </rPr>
      <t xml:space="preserve">, Po. : Nakrundi , Via. : Th. Rampur Dist. : Kalahandi </t>
    </r>
  </si>
  <si>
    <t>Vulnerable/ Destitude:      445</t>
  </si>
  <si>
    <t xml:space="preserve"> Expenditure (in Rs. )</t>
  </si>
  <si>
    <t>Upto 2007</t>
  </si>
  <si>
    <t>Year7</t>
  </si>
  <si>
    <t>Office Running Cost.</t>
  </si>
  <si>
    <t>Food Handling</t>
  </si>
  <si>
    <t>Vehicle Allowance WDT</t>
  </si>
  <si>
    <t>Form C : FNGO Fact Sheet (Dasmantapur)</t>
  </si>
  <si>
    <t>CYSD-Dasmantapur</t>
  </si>
  <si>
    <t>No. of VDC / MWS</t>
  </si>
  <si>
    <t>Name of the FNGO Chief Functionar</t>
  </si>
  <si>
    <t>Sri. Prafulla Maharana</t>
  </si>
  <si>
    <t>Contact Address : Including Telephone number if any)</t>
  </si>
  <si>
    <t>Head Office: CYSD,Institutional Area, Chandrasekharpur, BBSR</t>
  </si>
  <si>
    <t>Field Office-At-Adamunda,Po-A.Malkanagiri,OMP Line,Dasamantapur,Koraput</t>
  </si>
  <si>
    <t>No. of Villages within the MWSs</t>
  </si>
  <si>
    <t>No. of VLSCs within the MWSs</t>
  </si>
  <si>
    <t>No. of SHGs</t>
  </si>
  <si>
    <t>Vulnerable / Destitute</t>
  </si>
  <si>
    <t>Financial Year wise Expenditure (in Rs. Lakhs)</t>
  </si>
  <si>
    <t>Per Ha.</t>
  </si>
  <si>
    <t>Lakhs / Annum</t>
  </si>
  <si>
    <t>Travelling Allowance to WDT Memebers</t>
  </si>
  <si>
    <t>Head Office: TSRD, A-47, Rameswar Patna, Mausima Square, BBSR</t>
  </si>
  <si>
    <t>Sri. Jagabandhu Samal</t>
  </si>
  <si>
    <t>TSRD-Nandapur</t>
  </si>
  <si>
    <t>Form C : FNGO Fact Sheet (Nandapur)</t>
  </si>
  <si>
    <t>Form C : FNGO Fact Sheet(Pottangi)</t>
  </si>
  <si>
    <t>LAVS-Pottangi</t>
  </si>
  <si>
    <t>Sri. Rameswar Sahu</t>
  </si>
  <si>
    <t>Head Office: LAVS, Plot No: 119, Co-operative Housing Complex, P.O: Sikharchandi, BBSR</t>
  </si>
  <si>
    <t>Form C : FNGO Fact Sheet (Bandhugaon)</t>
  </si>
  <si>
    <t>RASS-Bandhugaon</t>
  </si>
  <si>
    <t>Sri. Tirupati Padhi</t>
  </si>
  <si>
    <t>Head Office: Rass, Annmaiah Marg, Air by pass road, Tirupati, Dist: Chitoor, Andhra Pradesh</t>
  </si>
  <si>
    <t>Form C : FNGO Fact Sheet (Laxmipur)</t>
  </si>
  <si>
    <t>CYSD-Laxmipur</t>
  </si>
  <si>
    <t>Field Office: Vikas, otelp, palaput, P.o/Via-N'patna, Dist-Koroput</t>
  </si>
  <si>
    <t>Head Office: VIKASH, D-2/7, Industrial state, Rasulgarh, BbSR, Dist: Khurda, 0674-2585306/2588187</t>
  </si>
  <si>
    <t>Sripati Mohapatra</t>
  </si>
  <si>
    <t>Bibeka Nanda Mishra</t>
  </si>
  <si>
    <t>VIKASH</t>
  </si>
  <si>
    <t>Form C : FNGO Fact Sheet (Semiliguda)</t>
  </si>
  <si>
    <t>TSRD-Semiliguda</t>
  </si>
  <si>
    <t>Sri. P. C Mohapatra</t>
  </si>
  <si>
    <t xml:space="preserve">Field Office 
Tagore Society for Rural Development, Orissa Project
At-Dusura, Post- Pitaguda, Block-Semiliguda, Dist.-Koraput </t>
  </si>
  <si>
    <t>&lt;&lt;Back</t>
  </si>
  <si>
    <t>2013-14</t>
  </si>
  <si>
    <t>2012-13</t>
  </si>
  <si>
    <t>2011-12</t>
  </si>
  <si>
    <t>Receipt( in Rs.</t>
  </si>
  <si>
    <t>Allocation in Rs.</t>
  </si>
  <si>
    <t xml:space="preserve">ST                       </t>
  </si>
  <si>
    <t>Field  Office , Mr.Bijay kumar Satapathy, Near old Petrol Pump,At/Po-Chandragiri,Dist-Gajapati,   Mob-919439337895</t>
  </si>
  <si>
    <t>Head Office                    Mr.Joe Madiath,  At-Mohuda, Po-Berhampur,Dist- Ganjam, Odisha, Mob-919437014449</t>
  </si>
  <si>
    <t>Mr.Bijay Kumar Satapathy</t>
  </si>
  <si>
    <t>Mr.Joe Madiath</t>
  </si>
  <si>
    <t xml:space="preserve">Total </t>
  </si>
  <si>
    <t>Unit cost (in Rs Lakhs)</t>
  </si>
  <si>
    <t>Contact Adress (including telephone Number)</t>
  </si>
  <si>
    <t>Surendra Panda</t>
  </si>
  <si>
    <t>Orissa Tribal Empowerment &amp; Livelihods Programme (OTELP)</t>
  </si>
  <si>
    <t>Form C: FNGO  Fact Sheet</t>
  </si>
  <si>
    <t>Professional Assistance for Development Actoin (PRADAN)</t>
  </si>
  <si>
    <t>No of VDC/MWS:</t>
  </si>
  <si>
    <t>10 ( Ten)</t>
  </si>
  <si>
    <t>Amulya Kumar Khandai , Team Leader ; Balliguda                              Manas Satpathy, PD, Orissa.</t>
  </si>
  <si>
    <t>Ashutosh Satpathy</t>
  </si>
  <si>
    <t>Contact Adress of the FNGO (including telephone number if any</t>
  </si>
  <si>
    <r>
      <t>Head office</t>
    </r>
    <r>
      <rPr>
        <sz val="10"/>
        <rFont val="Arial Narrow"/>
        <family val="2"/>
      </rPr>
      <t xml:space="preserve">   PRADAN , E 1 - A ; Kailash colony, New Delhi - 110 048   Telephone - 011 40407700</t>
    </r>
  </si>
  <si>
    <t>Contact Adress: (including telephone number if any)</t>
  </si>
  <si>
    <r>
      <t xml:space="preserve">Field office </t>
    </r>
    <r>
      <rPr>
        <sz val="10"/>
        <rFont val="Arial Narrow"/>
        <family val="2"/>
      </rPr>
      <t xml:space="preserve">  PRADAN   At / Po:- Kanjamendi - KNuagaon, Kandhamal ; Orissa.  - 762 103                                                                                  telephone no - 06846 243119                                                                    Email - balliguda@pradan.net</t>
    </r>
  </si>
  <si>
    <t>No of Villages within the MWS:</t>
  </si>
  <si>
    <t>No. of VLSCs within the MWS</t>
  </si>
  <si>
    <t>Financial year Wise Expenditure (in Rs. Lakhs)</t>
  </si>
  <si>
    <t>Communitty Empowerment and Management</t>
  </si>
  <si>
    <t>FNGO Implementing Cost</t>
  </si>
  <si>
    <t>Orissa Tribal Empowerment &amp; Livelihoods Programme (OTELP)
Form C   MWS Fact Sheet</t>
  </si>
  <si>
    <t>14</t>
  </si>
  <si>
    <t>Name of the FNGO Functionary</t>
  </si>
  <si>
    <t>Pradeep Kumar Dash</t>
  </si>
  <si>
    <t>Jyoti Ranjan Pradhan</t>
  </si>
  <si>
    <t>Contact Address of the FNGO (Including Telephone Number If any)</t>
  </si>
  <si>
    <r>
      <rPr>
        <b/>
        <u/>
        <sz val="10"/>
        <color theme="1"/>
        <rFont val="Calibri"/>
        <family val="2"/>
        <scheme val="minor"/>
      </rPr>
      <t>Head Office</t>
    </r>
    <r>
      <rPr>
        <sz val="10"/>
        <color theme="1"/>
        <rFont val="Calibri"/>
        <family val="2"/>
        <scheme val="minor"/>
      </rPr>
      <t xml:space="preserve">
                     At/Po- G.Udayagiri, Nuasahi
                     Dist - Kandhamal
                     06847-260065</t>
    </r>
  </si>
  <si>
    <r>
      <rPr>
        <b/>
        <u/>
        <sz val="10"/>
        <color theme="1"/>
        <rFont val="Calibri"/>
        <family val="2"/>
        <scheme val="minor"/>
      </rPr>
      <t>Field Office</t>
    </r>
    <r>
      <rPr>
        <sz val="10"/>
        <color theme="1"/>
        <rFont val="Calibri"/>
        <family val="2"/>
        <scheme val="minor"/>
      </rPr>
      <t xml:space="preserve">
                    At/Po- Rampur Chhak, Tumudibandh
                    Dist - Kandhamal,</t>
    </r>
  </si>
  <si>
    <t>Unit Cost 
(in Rs.)</t>
  </si>
  <si>
    <t>Allocation 
(in Rs. Lakhs)</t>
  </si>
  <si>
    <t>Receipt
(in Rs. Lakhs)</t>
  </si>
  <si>
    <t>Financial Year Wise Expenditure ( In Rs. Lakhs)</t>
  </si>
  <si>
    <t>2004-05         &amp; 2005-06</t>
  </si>
  <si>
    <t>Per Hactare</t>
  </si>
  <si>
    <t>Remuneration to WDT Member</t>
  </si>
  <si>
    <t>Travelling Allowance to WDT Member</t>
  </si>
  <si>
    <t>Remuneration to 
Community Mobilizers Members</t>
  </si>
  <si>
    <t>Satish Patnaik</t>
  </si>
  <si>
    <r>
      <t xml:space="preserve">Field office </t>
    </r>
    <r>
      <rPr>
        <sz val="10"/>
        <rFont val="Arial Narrow"/>
        <family val="2"/>
      </rPr>
      <t xml:space="preserve">  PRADAN   At - Patra Sahi ; Po - Balliguda, Kandhamal ; Orissa.  - 762 103                                                                                  telephone no - 06846 243119                                                                    Email - balliguda@pradan.net</t>
    </r>
  </si>
  <si>
    <t>From C: FNGO Fact Sheet</t>
  </si>
  <si>
    <t>Name of the FNGO :</t>
  </si>
  <si>
    <t>Council of professional Social Workers(CPSW)</t>
  </si>
  <si>
    <t>No of the VDC/MWS:</t>
  </si>
  <si>
    <t xml:space="preserve">Tretable Area: </t>
  </si>
  <si>
    <t>Manoj Kumar Pradhan</t>
  </si>
  <si>
    <t>Rashimikanta Panda</t>
  </si>
  <si>
    <t>Contact of the FNGO ( Including telephone No.)</t>
  </si>
  <si>
    <r>
      <t xml:space="preserve">Head Office </t>
    </r>
    <r>
      <rPr>
        <b/>
        <sz val="8"/>
        <color theme="1"/>
        <rFont val="Arial"/>
        <family val="2"/>
      </rPr>
      <t xml:space="preserve">         4696/15190, Adimata Colony ,                 
  P.O.: Mancheswar Rly.Colony, Bhubneswar-751017                Ph:0674-2748705 ,                                                                               E-mail: cpsw@vsnl.com,                             Website:www.cpsw.org                       </t>
    </r>
  </si>
  <si>
    <r>
      <t xml:space="preserve">Branch Office </t>
    </r>
    <r>
      <rPr>
        <b/>
        <sz val="8"/>
        <color theme="1"/>
        <rFont val="Arial"/>
        <family val="2"/>
      </rPr>
      <t xml:space="preserve">   At/Po:Jhingirguda, Via:Bamunigaon, Block: Daringbadi, Dist : Kandhamal, Pin:762021,    Mob. No:9437067570,                                                                                  E-Mail:cpsw.tdpb@gmail.com</t>
    </r>
  </si>
  <si>
    <t>No of Villages within the MWSs</t>
  </si>
  <si>
    <t>No of VLSCs within the MWSs</t>
  </si>
  <si>
    <t>Vulnerable /Destitute</t>
  </si>
  <si>
    <t>Unit Cost(In Rs.)</t>
  </si>
  <si>
    <t>Allocation in Rs. Lakhs</t>
  </si>
  <si>
    <t>Receipt in Rs. Lakhs</t>
  </si>
  <si>
    <t>Per Hac.</t>
  </si>
  <si>
    <t>Remuneration WDT Member</t>
  </si>
  <si>
    <t>Remuneration CM Member</t>
  </si>
  <si>
    <t>Travelling allowance to FNGO Rep.</t>
  </si>
  <si>
    <t>Onetime Cycle Grant</t>
  </si>
  <si>
    <t>JAGRUTI</t>
  </si>
  <si>
    <t>15</t>
  </si>
  <si>
    <t>Forest Tratable Area</t>
  </si>
  <si>
    <t>Kailash Dandapat</t>
  </si>
  <si>
    <t>Ratikanta Pattanaik</t>
  </si>
  <si>
    <r>
      <rPr>
        <b/>
        <u/>
        <sz val="10"/>
        <color theme="1"/>
        <rFont val="Calibri"/>
        <family val="2"/>
        <scheme val="minor"/>
      </rPr>
      <t>Head Office</t>
    </r>
    <r>
      <rPr>
        <sz val="10"/>
        <color theme="1"/>
        <rFont val="Calibri"/>
        <family val="2"/>
        <scheme val="minor"/>
      </rPr>
      <t xml:space="preserve">
                     At/Po- Daringibadi
                     Dist - Kandhamal
                    </t>
    </r>
  </si>
  <si>
    <r>
      <rPr>
        <b/>
        <u/>
        <sz val="10"/>
        <color theme="1"/>
        <rFont val="Calibri"/>
        <family val="2"/>
        <scheme val="minor"/>
      </rPr>
      <t>Field Office</t>
    </r>
    <r>
      <rPr>
        <sz val="10"/>
        <color theme="1"/>
        <rFont val="Calibri"/>
        <family val="2"/>
        <scheme val="minor"/>
      </rPr>
      <t xml:space="preserve">
                    At/Po- Kotagarh
                    Dist - Kandhamal,</t>
    </r>
  </si>
  <si>
    <t xml:space="preserve">Allocation </t>
  </si>
  <si>
    <t>Expenditure</t>
  </si>
  <si>
    <t>Prepared by</t>
  </si>
  <si>
    <t>Checked by</t>
  </si>
  <si>
    <t>MIS Executive, Gunupur</t>
  </si>
  <si>
    <t>Finance Officer, Gunupur</t>
  </si>
  <si>
    <t>Allocation</t>
  </si>
  <si>
    <t xml:space="preserve">Expenditure </t>
  </si>
  <si>
    <r>
      <t>Head Office</t>
    </r>
    <r>
      <rPr>
        <b/>
        <sz val="11"/>
        <color indexed="8"/>
        <rFont val="Calibri"/>
        <family val="2"/>
      </rPr>
      <t>Mr.Bhikari Charana Behera, President, PEACE, At/Po-Mohana, Gajapati, Mobile No-919437558393, Land line-06816258393, 258349, 258254</t>
    </r>
  </si>
  <si>
    <r>
      <t>Field  Office 1.</t>
    </r>
    <r>
      <rPr>
        <b/>
        <sz val="11"/>
        <color indexed="8"/>
        <rFont val="Calibri"/>
        <family val="2"/>
      </rPr>
      <t>Mr.Bhikari Charana Behera, President, PEACE, At/Po-Badagada, Ganjam,  2. Bimanapur, Po-Anuguru, G.P Kirama, Nuagada Gajapati, Mobile No-919437558393, Land line-06816258393, 258349, 258254</t>
    </r>
  </si>
  <si>
    <t xml:space="preserve">                                                                                                                                                                       Form C:FNGO Fact Sheet</t>
  </si>
  <si>
    <t>Sri. Prafulla Sahoo</t>
  </si>
  <si>
    <t>Field Office: CYSD, At/P.o: Laxmipur, Koraput, Orissa-765013</t>
  </si>
  <si>
    <t>Other</t>
  </si>
  <si>
    <t>Population</t>
  </si>
  <si>
    <t>Community Empowerment  and Management</t>
  </si>
  <si>
    <t>Head Office- Gandhinagar, Malkangiri 
Phone no- 06861-230669</t>
  </si>
  <si>
    <t xml:space="preserve">Field Office- 
</t>
  </si>
  <si>
    <t>Khairput, Dist- Malkangiri
Mob No- 9437579339</t>
  </si>
  <si>
    <r>
      <rPr>
        <u/>
        <sz val="11"/>
        <rFont val="Calibri"/>
        <family val="2"/>
      </rPr>
      <t>Field office</t>
    </r>
    <r>
      <rPr>
        <sz val="11"/>
        <color indexed="10"/>
        <rFont val="Calibri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         
Parivarttan                                   At/po- Kudumulugumma    
Dist - Malkangiri          
Tel. no. 06861 237005    </t>
    </r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</si>
</sst>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0000"/>
    <numFmt numFmtId="168" formatCode="_(* #,##0.000_);_(* \(#,##0.000\);_(* &quot;-&quot;??_);_(@_)"/>
  </numFmts>
  <fonts count="8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8"/>
      <color theme="1"/>
      <name val="Times New Roman"/>
      <family val="1"/>
    </font>
    <font>
      <sz val="9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u/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u/>
      <sz val="11"/>
      <color theme="1"/>
      <name val="Cambria"/>
      <family val="1"/>
      <scheme val="maj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indexed="8"/>
      <name val="Calibri"/>
      <family val="2"/>
    </font>
    <font>
      <b/>
      <sz val="10"/>
      <color theme="1"/>
      <name val="Cambria"/>
      <family val="1"/>
      <scheme val="major"/>
    </font>
    <font>
      <u/>
      <sz val="14"/>
      <color theme="1"/>
      <name val="Cambria"/>
      <family val="1"/>
      <scheme val="major"/>
    </font>
    <font>
      <b/>
      <sz val="12"/>
      <name val="Arial"/>
      <family val="2"/>
    </font>
    <font>
      <b/>
      <u/>
      <sz val="14"/>
      <name val="Arial"/>
      <family val="2"/>
    </font>
    <font>
      <sz val="10"/>
      <name val="Arial"/>
    </font>
    <font>
      <u/>
      <sz val="10"/>
      <name val="Arial"/>
      <family val="2"/>
    </font>
    <font>
      <b/>
      <u/>
      <sz val="8"/>
      <name val="Arial"/>
      <family val="2"/>
    </font>
    <font>
      <sz val="11"/>
      <color rgb="FF3F3F76"/>
      <name val="Calibri"/>
      <family val="2"/>
      <scheme val="minor"/>
    </font>
    <font>
      <u/>
      <sz val="10"/>
      <color theme="1"/>
      <name val="Times New Roman"/>
      <family val="1"/>
    </font>
    <font>
      <sz val="12"/>
      <color theme="1"/>
      <name val="Cambria"/>
      <family val="1"/>
      <scheme val="major"/>
    </font>
    <font>
      <sz val="11"/>
      <color indexed="8"/>
      <name val="Cambria"/>
      <family val="1"/>
    </font>
    <font>
      <u/>
      <sz val="11"/>
      <color indexed="8"/>
      <name val="Cambria"/>
      <family val="1"/>
    </font>
    <font>
      <b/>
      <u/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name val="Bookman Old Style"/>
      <family val="1"/>
    </font>
    <font>
      <u/>
      <sz val="11"/>
      <color indexed="8"/>
      <name val="Calibri"/>
      <family val="2"/>
    </font>
    <font>
      <u/>
      <sz val="11"/>
      <name val="Calibri"/>
      <family val="2"/>
    </font>
    <font>
      <sz val="11"/>
      <color indexed="10"/>
      <name val="Calibri"/>
      <family val="2"/>
    </font>
    <font>
      <b/>
      <sz val="8"/>
      <name val="Cambria"/>
      <family val="1"/>
    </font>
    <font>
      <sz val="8"/>
      <name val="Cambria"/>
      <family val="1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u/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sz val="8"/>
      <name val="Arial Narrow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8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0" fillId="0" borderId="0"/>
    <xf numFmtId="0" fontId="43" fillId="7" borderId="17" applyNumberFormat="0" applyAlignment="0" applyProtection="0"/>
    <xf numFmtId="9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9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40" fillId="0" borderId="0" applyFont="0" applyFill="0" applyBorder="0" applyAlignment="0" applyProtection="0"/>
  </cellStyleXfs>
  <cellXfs count="916">
    <xf numFmtId="0" fontId="0" fillId="0" borderId="0" xfId="0"/>
    <xf numFmtId="0" fontId="1" fillId="0" borderId="0" xfId="0" applyFont="1"/>
    <xf numFmtId="0" fontId="2" fillId="0" borderId="1" xfId="0" applyFont="1" applyBorder="1"/>
    <xf numFmtId="2" fontId="0" fillId="0" borderId="0" xfId="0" applyNumberFormat="1"/>
    <xf numFmtId="0" fontId="2" fillId="0" borderId="1" xfId="0" applyFont="1" applyFill="1" applyBorder="1"/>
    <xf numFmtId="0" fontId="8" fillId="0" borderId="1" xfId="2" applyBorder="1" applyAlignment="1" applyProtection="1"/>
    <xf numFmtId="0" fontId="16" fillId="0" borderId="1" xfId="0" applyFont="1" applyBorder="1"/>
    <xf numFmtId="0" fontId="17" fillId="5" borderId="1" xfId="0" applyNumberFormat="1" applyFont="1" applyFill="1" applyBorder="1" applyAlignment="1">
      <alignment vertical="center" wrapText="1"/>
    </xf>
    <xf numFmtId="0" fontId="19" fillId="0" borderId="1" xfId="0" applyFont="1" applyBorder="1"/>
    <xf numFmtId="0" fontId="0" fillId="0" borderId="0" xfId="0" applyAlignment="1">
      <alignment vertical="center" wrapText="1"/>
    </xf>
    <xf numFmtId="166" fontId="16" fillId="0" borderId="1" xfId="0" applyNumberFormat="1" applyFont="1" applyBorder="1" applyAlignment="1">
      <alignment horizontal="right" wrapText="1"/>
    </xf>
    <xf numFmtId="0" fontId="20" fillId="0" borderId="0" xfId="0" applyFont="1"/>
    <xf numFmtId="0" fontId="20" fillId="0" borderId="1" xfId="0" applyFont="1" applyBorder="1"/>
    <xf numFmtId="0" fontId="21" fillId="0" borderId="1" xfId="0" applyFont="1" applyBorder="1"/>
    <xf numFmtId="166" fontId="19" fillId="0" borderId="1" xfId="0" applyNumberFormat="1" applyFont="1" applyBorder="1"/>
    <xf numFmtId="166" fontId="21" fillId="0" borderId="1" xfId="0" applyNumberFormat="1" applyFont="1" applyBorder="1"/>
    <xf numFmtId="0" fontId="16" fillId="0" borderId="0" xfId="0" applyFont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66" fontId="16" fillId="0" borderId="1" xfId="0" applyNumberFormat="1" applyFont="1" applyBorder="1" applyAlignment="1">
      <alignment vertical="center" wrapText="1"/>
    </xf>
    <xf numFmtId="166" fontId="18" fillId="0" borderId="1" xfId="0" applyNumberFormat="1" applyFont="1" applyBorder="1" applyAlignment="1">
      <alignment vertical="center" wrapText="1"/>
    </xf>
    <xf numFmtId="0" fontId="14" fillId="0" borderId="1" xfId="0" applyFont="1" applyBorder="1"/>
    <xf numFmtId="166" fontId="0" fillId="0" borderId="1" xfId="0" applyNumberFormat="1" applyBorder="1"/>
    <xf numFmtId="166" fontId="0" fillId="0" borderId="1" xfId="0" applyNumberFormat="1" applyFont="1" applyBorder="1"/>
    <xf numFmtId="166" fontId="14" fillId="0" borderId="1" xfId="0" applyNumberFormat="1" applyFont="1" applyBorder="1"/>
    <xf numFmtId="0" fontId="25" fillId="0" borderId="0" xfId="0" applyFont="1"/>
    <xf numFmtId="0" fontId="26" fillId="0" borderId="0" xfId="0" applyFont="1"/>
    <xf numFmtId="0" fontId="25" fillId="0" borderId="1" xfId="0" applyFont="1" applyBorder="1"/>
    <xf numFmtId="0" fontId="27" fillId="0" borderId="0" xfId="0" applyFont="1"/>
    <xf numFmtId="0" fontId="28" fillId="0" borderId="0" xfId="0" applyFont="1"/>
    <xf numFmtId="166" fontId="21" fillId="0" borderId="1" xfId="0" applyNumberFormat="1" applyFont="1" applyBorder="1" applyAlignment="1"/>
    <xf numFmtId="166" fontId="19" fillId="0" borderId="1" xfId="0" applyNumberFormat="1" applyFont="1" applyBorder="1" applyAlignment="1"/>
    <xf numFmtId="0" fontId="26" fillId="0" borderId="0" xfId="0" applyFont="1" applyBorder="1" applyAlignment="1"/>
    <xf numFmtId="0" fontId="26" fillId="0" borderId="1" xfId="0" applyFont="1" applyBorder="1"/>
    <xf numFmtId="0" fontId="26" fillId="0" borderId="1" xfId="0" applyFont="1" applyBorder="1" applyAlignment="1"/>
    <xf numFmtId="0" fontId="29" fillId="0" borderId="0" xfId="0" applyFont="1"/>
    <xf numFmtId="0" fontId="31" fillId="0" borderId="1" xfId="0" applyFont="1" applyBorder="1"/>
    <xf numFmtId="0" fontId="29" fillId="0" borderId="0" xfId="0" applyFont="1" applyAlignment="1">
      <alignment horizontal="center" vertical="top"/>
    </xf>
    <xf numFmtId="0" fontId="29" fillId="6" borderId="1" xfId="0" applyFont="1" applyFill="1" applyBorder="1" applyAlignment="1">
      <alignment horizontal="center" vertical="top"/>
    </xf>
    <xf numFmtId="2" fontId="29" fillId="6" borderId="1" xfId="0" applyNumberFormat="1" applyFont="1" applyFill="1" applyBorder="1" applyAlignment="1">
      <alignment horizontal="center" vertical="top"/>
    </xf>
    <xf numFmtId="0" fontId="29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9" fillId="6" borderId="1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center" vertical="center"/>
    </xf>
    <xf numFmtId="0" fontId="29" fillId="6" borderId="0" xfId="0" applyFont="1" applyFill="1" applyAlignment="1">
      <alignment vertical="center" wrapText="1"/>
    </xf>
    <xf numFmtId="0" fontId="29" fillId="0" borderId="1" xfId="0" applyFont="1" applyBorder="1" applyAlignment="1">
      <alignment horizontal="right" vertical="center"/>
    </xf>
    <xf numFmtId="1" fontId="29" fillId="0" borderId="1" xfId="0" applyNumberFormat="1" applyFont="1" applyBorder="1" applyAlignment="1">
      <alignment horizontal="center" vertical="center" wrapText="1"/>
    </xf>
    <xf numFmtId="1" fontId="29" fillId="6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0" fontId="2" fillId="5" borderId="1" xfId="0" applyFont="1" applyFill="1" applyBorder="1"/>
    <xf numFmtId="0" fontId="0" fillId="5" borderId="0" xfId="0" applyFill="1"/>
    <xf numFmtId="0" fontId="21" fillId="0" borderId="1" xfId="0" applyFont="1" applyBorder="1" applyAlignment="1">
      <alignment vertical="center"/>
    </xf>
    <xf numFmtId="0" fontId="2" fillId="0" borderId="0" xfId="0" applyFont="1"/>
    <xf numFmtId="166" fontId="0" fillId="0" borderId="1" xfId="0" applyNumberForma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0" fillId="0" borderId="0" xfId="0" applyAlignment="1">
      <alignment vertical="top"/>
    </xf>
    <xf numFmtId="0" fontId="0" fillId="5" borderId="0" xfId="0" applyFill="1" applyAlignment="1">
      <alignment vertical="top"/>
    </xf>
    <xf numFmtId="2" fontId="16" fillId="0" borderId="0" xfId="0" applyNumberFormat="1" applyFont="1" applyAlignment="1">
      <alignment vertical="center" wrapText="1"/>
    </xf>
    <xf numFmtId="2" fontId="18" fillId="5" borderId="1" xfId="0" applyNumberFormat="1" applyFont="1" applyFill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right" vertical="center" wrapText="1"/>
    </xf>
    <xf numFmtId="166" fontId="16" fillId="5" borderId="1" xfId="0" applyNumberFormat="1" applyFont="1" applyFill="1" applyBorder="1" applyAlignment="1">
      <alignment vertical="center" wrapText="1"/>
    </xf>
    <xf numFmtId="166" fontId="16" fillId="0" borderId="1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45" fillId="0" borderId="0" xfId="0" applyFont="1"/>
    <xf numFmtId="0" fontId="26" fillId="0" borderId="5" xfId="0" applyFont="1" applyBorder="1" applyAlignment="1"/>
    <xf numFmtId="0" fontId="26" fillId="0" borderId="7" xfId="0" applyFont="1" applyBorder="1" applyAlignment="1"/>
    <xf numFmtId="0" fontId="26" fillId="0" borderId="0" xfId="0" applyFont="1" applyAlignment="1">
      <alignment wrapText="1"/>
    </xf>
    <xf numFmtId="0" fontId="26" fillId="0" borderId="2" xfId="0" applyFont="1" applyBorder="1" applyAlignment="1">
      <alignment wrapText="1"/>
    </xf>
    <xf numFmtId="0" fontId="26" fillId="0" borderId="6" xfId="0" applyFont="1" applyBorder="1" applyAlignment="1"/>
    <xf numFmtId="0" fontId="25" fillId="0" borderId="1" xfId="0" applyFont="1" applyBorder="1" applyAlignment="1"/>
    <xf numFmtId="0" fontId="31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166" fontId="16" fillId="0" borderId="1" xfId="0" applyNumberFormat="1" applyFont="1" applyBorder="1" applyAlignment="1">
      <alignment wrapText="1"/>
    </xf>
    <xf numFmtId="0" fontId="21" fillId="0" borderId="1" xfId="0" applyFont="1" applyFill="1" applyBorder="1"/>
    <xf numFmtId="166" fontId="19" fillId="0" borderId="4" xfId="0" applyNumberFormat="1" applyFont="1" applyBorder="1" applyAlignment="1"/>
    <xf numFmtId="0" fontId="21" fillId="0" borderId="4" xfId="0" applyFont="1" applyBorder="1"/>
    <xf numFmtId="166" fontId="21" fillId="0" borderId="4" xfId="0" applyNumberFormat="1" applyFont="1" applyBorder="1" applyAlignment="1"/>
    <xf numFmtId="0" fontId="0" fillId="0" borderId="0" xfId="0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48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0" fillId="0" borderId="1" xfId="0" applyNumberFormat="1" applyBorder="1" applyAlignment="1">
      <alignment vertical="center" wrapText="1"/>
    </xf>
    <xf numFmtId="166" fontId="23" fillId="0" borderId="1" xfId="0" applyNumberFormat="1" applyFont="1" applyBorder="1" applyAlignment="1">
      <alignment vertical="center"/>
    </xf>
    <xf numFmtId="166" fontId="0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166" fontId="14" fillId="0" borderId="1" xfId="0" applyNumberFormat="1" applyFont="1" applyBorder="1" applyAlignment="1">
      <alignment vertical="center"/>
    </xf>
    <xf numFmtId="166" fontId="14" fillId="0" borderId="1" xfId="0" applyNumberFormat="1" applyFont="1" applyBorder="1" applyAlignment="1">
      <alignment vertical="center" wrapText="1"/>
    </xf>
    <xf numFmtId="0" fontId="49" fillId="0" borderId="0" xfId="0" applyFont="1" applyAlignment="1">
      <alignment vertical="center"/>
    </xf>
    <xf numFmtId="0" fontId="0" fillId="0" borderId="2" xfId="0" applyBorder="1" applyAlignment="1"/>
    <xf numFmtId="0" fontId="0" fillId="0" borderId="1" xfId="0" applyFont="1" applyBorder="1" applyAlignment="1">
      <alignment horizontal="right" wrapText="1"/>
    </xf>
    <xf numFmtId="166" fontId="0" fillId="0" borderId="15" xfId="0" applyNumberFormat="1" applyFill="1" applyBorder="1"/>
    <xf numFmtId="0" fontId="8" fillId="0" borderId="1" xfId="2" applyFill="1" applyBorder="1" applyAlignment="1" applyProtection="1"/>
    <xf numFmtId="0" fontId="1" fillId="5" borderId="1" xfId="0" applyFont="1" applyFill="1" applyBorder="1" applyAlignment="1">
      <alignment vertical="top" wrapText="1"/>
    </xf>
    <xf numFmtId="167" fontId="0" fillId="0" borderId="1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5" borderId="1" xfId="2" applyFill="1" applyBorder="1" applyAlignment="1" applyProtection="1"/>
    <xf numFmtId="0" fontId="2" fillId="0" borderId="0" xfId="46"/>
    <xf numFmtId="2" fontId="2" fillId="0" borderId="1" xfId="46" applyNumberFormat="1" applyBorder="1" applyAlignment="1">
      <alignment horizontal="center" vertical="center" wrapText="1"/>
    </xf>
    <xf numFmtId="2" fontId="24" fillId="0" borderId="1" xfId="46" applyNumberFormat="1" applyFont="1" applyBorder="1" applyAlignment="1">
      <alignment horizontal="right" vertical="center" wrapText="1"/>
    </xf>
    <xf numFmtId="0" fontId="2" fillId="0" borderId="1" xfId="46" applyBorder="1" applyAlignment="1">
      <alignment horizontal="right" wrapText="1"/>
    </xf>
    <xf numFmtId="0" fontId="2" fillId="0" borderId="1" xfId="46" applyBorder="1" applyAlignment="1">
      <alignment horizontal="right" vertical="center" wrapText="1"/>
    </xf>
    <xf numFmtId="2" fontId="2" fillId="0" borderId="1" xfId="46" applyNumberFormat="1" applyBorder="1" applyAlignment="1">
      <alignment horizontal="right" vertical="center" wrapText="1"/>
    </xf>
    <xf numFmtId="0" fontId="2" fillId="0" borderId="1" xfId="46" applyBorder="1"/>
    <xf numFmtId="0" fontId="2" fillId="0" borderId="1" xfId="46" applyBorder="1" applyAlignment="1"/>
    <xf numFmtId="0" fontId="2" fillId="0" borderId="1" xfId="46" applyBorder="1" applyAlignment="1">
      <alignment horizontal="center"/>
    </xf>
    <xf numFmtId="0" fontId="1" fillId="0" borderId="0" xfId="46" applyFont="1"/>
    <xf numFmtId="0" fontId="28" fillId="0" borderId="1" xfId="0" applyFont="1" applyBorder="1"/>
    <xf numFmtId="0" fontId="28" fillId="0" borderId="1" xfId="0" applyFont="1" applyBorder="1" applyAlignment="1">
      <alignment horizontal="right"/>
    </xf>
    <xf numFmtId="0" fontId="14" fillId="0" borderId="0" xfId="0" applyFont="1" applyBorder="1"/>
    <xf numFmtId="0" fontId="28" fillId="0" borderId="1" xfId="0" applyFont="1" applyBorder="1" applyAlignment="1">
      <alignment wrapText="1"/>
    </xf>
    <xf numFmtId="0" fontId="29" fillId="6" borderId="0" xfId="0" applyFont="1" applyFill="1" applyAlignment="1">
      <alignment vertical="top" wrapText="1"/>
    </xf>
    <xf numFmtId="0" fontId="29" fillId="0" borderId="0" xfId="0" applyFont="1" applyAlignment="1">
      <alignment vertical="top"/>
    </xf>
    <xf numFmtId="165" fontId="29" fillId="0" borderId="1" xfId="0" applyNumberFormat="1" applyFont="1" applyBorder="1" applyAlignment="1">
      <alignment horizontal="center" vertical="center" wrapText="1"/>
    </xf>
    <xf numFmtId="0" fontId="36" fillId="6" borderId="1" xfId="0" applyFont="1" applyFill="1" applyBorder="1"/>
    <xf numFmtId="164" fontId="29" fillId="0" borderId="1" xfId="0" applyNumberFormat="1" applyFont="1" applyBorder="1" applyAlignment="1">
      <alignment horizontal="center" vertical="center" wrapText="1"/>
    </xf>
    <xf numFmtId="2" fontId="29" fillId="0" borderId="0" xfId="0" applyNumberFormat="1" applyFont="1" applyAlignment="1">
      <alignment horizontal="center" vertical="top"/>
    </xf>
    <xf numFmtId="1" fontId="29" fillId="0" borderId="0" xfId="0" applyNumberFormat="1" applyFont="1" applyAlignment="1">
      <alignment horizontal="center" vertical="top"/>
    </xf>
    <xf numFmtId="0" fontId="41" fillId="0" borderId="0" xfId="46" applyFont="1"/>
    <xf numFmtId="2" fontId="2" fillId="0" borderId="1" xfId="46" applyNumberFormat="1" applyBorder="1"/>
    <xf numFmtId="1" fontId="2" fillId="0" borderId="1" xfId="46" applyNumberFormat="1" applyBorder="1"/>
    <xf numFmtId="2" fontId="1" fillId="0" borderId="1" xfId="46" applyNumberFormat="1" applyFont="1" applyBorder="1"/>
    <xf numFmtId="0" fontId="58" fillId="0" borderId="6" xfId="46" applyFont="1" applyBorder="1" applyAlignment="1">
      <alignment horizontal="center" vertical="center" wrapText="1"/>
    </xf>
    <xf numFmtId="0" fontId="58" fillId="0" borderId="10" xfId="46" applyFont="1" applyBorder="1" applyAlignment="1">
      <alignment horizontal="center" vertical="center" wrapText="1"/>
    </xf>
    <xf numFmtId="0" fontId="58" fillId="0" borderId="7" xfId="46" applyFont="1" applyBorder="1" applyAlignment="1">
      <alignment horizontal="center" vertical="center" wrapText="1"/>
    </xf>
    <xf numFmtId="0" fontId="59" fillId="0" borderId="0" xfId="46" applyFont="1" applyAlignment="1">
      <alignment horizontal="center" vertical="center" wrapText="1"/>
    </xf>
    <xf numFmtId="0" fontId="58" fillId="0" borderId="1" xfId="46" applyFont="1" applyBorder="1" applyAlignment="1">
      <alignment horizontal="center" vertical="center" wrapText="1"/>
    </xf>
    <xf numFmtId="0" fontId="58" fillId="0" borderId="5" xfId="46" applyFont="1" applyBorder="1" applyAlignment="1">
      <alignment horizontal="center" vertical="center" wrapText="1"/>
    </xf>
    <xf numFmtId="0" fontId="59" fillId="0" borderId="7" xfId="46" applyFont="1" applyBorder="1" applyAlignment="1">
      <alignment horizontal="center" vertical="center" wrapText="1"/>
    </xf>
    <xf numFmtId="0" fontId="59" fillId="0" borderId="6" xfId="46" applyFont="1" applyBorder="1" applyAlignment="1">
      <alignment horizontal="center" vertical="center" wrapText="1"/>
    </xf>
    <xf numFmtId="0" fontId="59" fillId="0" borderId="6" xfId="46" applyFont="1" applyBorder="1" applyAlignment="1">
      <alignment vertical="center" wrapText="1"/>
    </xf>
    <xf numFmtId="0" fontId="58" fillId="0" borderId="5" xfId="46" applyFont="1" applyFill="1" applyBorder="1" applyAlignment="1">
      <alignment horizontal="center" vertical="center" wrapText="1"/>
    </xf>
    <xf numFmtId="0" fontId="59" fillId="0" borderId="7" xfId="46" applyFont="1" applyBorder="1" applyAlignment="1">
      <alignment vertical="center" wrapText="1"/>
    </xf>
    <xf numFmtId="0" fontId="59" fillId="0" borderId="0" xfId="46" applyFont="1" applyBorder="1" applyAlignment="1">
      <alignment horizontal="center" vertical="center" wrapText="1"/>
    </xf>
    <xf numFmtId="0" fontId="59" fillId="0" borderId="0" xfId="46" applyFont="1" applyBorder="1" applyAlignment="1">
      <alignment vertical="center" wrapText="1"/>
    </xf>
    <xf numFmtId="0" fontId="59" fillId="0" borderId="0" xfId="46" applyFont="1" applyFill="1" applyBorder="1" applyAlignment="1">
      <alignment horizontal="center" vertical="center" wrapText="1"/>
    </xf>
    <xf numFmtId="0" fontId="59" fillId="0" borderId="1" xfId="46" applyFont="1" applyBorder="1" applyAlignment="1">
      <alignment horizontal="center" vertical="center" wrapText="1"/>
    </xf>
    <xf numFmtId="0" fontId="58" fillId="0" borderId="4" xfId="46" applyFont="1" applyBorder="1" applyAlignment="1">
      <alignment horizontal="center" vertical="center" wrapText="1"/>
    </xf>
    <xf numFmtId="0" fontId="59" fillId="0" borderId="4" xfId="46" applyFont="1" applyBorder="1" applyAlignment="1">
      <alignment horizontal="center" vertical="center" wrapText="1"/>
    </xf>
    <xf numFmtId="0" fontId="59" fillId="0" borderId="5" xfId="46" applyFont="1" applyBorder="1" applyAlignment="1">
      <alignment horizontal="center" vertical="center" wrapText="1"/>
    </xf>
    <xf numFmtId="0" fontId="58" fillId="0" borderId="15" xfId="46" applyFont="1" applyBorder="1" applyAlignment="1">
      <alignment horizontal="center" vertical="center" wrapText="1"/>
    </xf>
    <xf numFmtId="0" fontId="59" fillId="0" borderId="15" xfId="46" applyFont="1" applyBorder="1" applyAlignment="1">
      <alignment horizontal="center" vertical="center" wrapText="1"/>
    </xf>
    <xf numFmtId="0" fontId="59" fillId="0" borderId="8" xfId="46" applyFont="1" applyBorder="1" applyAlignment="1">
      <alignment horizontal="center" vertical="center" wrapText="1"/>
    </xf>
    <xf numFmtId="9" fontId="59" fillId="0" borderId="1" xfId="53" applyNumberFormat="1" applyFont="1" applyBorder="1" applyAlignment="1">
      <alignment horizontal="center" vertical="center" wrapText="1"/>
    </xf>
    <xf numFmtId="0" fontId="59" fillId="0" borderId="1" xfId="46" applyFont="1" applyBorder="1" applyAlignment="1">
      <alignment vertical="center" wrapText="1"/>
    </xf>
    <xf numFmtId="0" fontId="59" fillId="0" borderId="4" xfId="46" applyFont="1" applyBorder="1" applyAlignment="1">
      <alignment vertical="center" wrapText="1"/>
    </xf>
    <xf numFmtId="0" fontId="59" fillId="0" borderId="15" xfId="46" applyFont="1" applyBorder="1" applyAlignment="1">
      <alignment vertical="center" wrapText="1"/>
    </xf>
    <xf numFmtId="0" fontId="59" fillId="0" borderId="8" xfId="46" applyFont="1" applyBorder="1" applyAlignment="1">
      <alignment vertical="center" wrapText="1"/>
    </xf>
    <xf numFmtId="0" fontId="6" fillId="3" borderId="0" xfId="46" applyFont="1" applyFill="1"/>
    <xf numFmtId="0" fontId="2" fillId="3" borderId="0" xfId="46" applyFill="1"/>
    <xf numFmtId="0" fontId="5" fillId="3" borderId="0" xfId="46" applyFont="1" applyFill="1" applyAlignment="1">
      <alignment horizontal="center"/>
    </xf>
    <xf numFmtId="0" fontId="2" fillId="3" borderId="1" xfId="46" applyFill="1" applyBorder="1"/>
    <xf numFmtId="0" fontId="2" fillId="3" borderId="0" xfId="46" applyFill="1" applyBorder="1"/>
    <xf numFmtId="0" fontId="2" fillId="3" borderId="0" xfId="46" applyFill="1" applyBorder="1" applyAlignment="1">
      <alignment horizontal="center" vertical="justify" wrapText="1"/>
    </xf>
    <xf numFmtId="0" fontId="7" fillId="3" borderId="0" xfId="46" applyFont="1" applyFill="1"/>
    <xf numFmtId="0" fontId="2" fillId="3" borderId="1" xfId="46" applyFill="1" applyBorder="1" applyAlignment="1">
      <alignment horizontal="center"/>
    </xf>
    <xf numFmtId="0" fontId="2" fillId="3" borderId="1" xfId="46" applyFill="1" applyBorder="1" applyAlignment="1">
      <alignment horizontal="left" vertical="justify" wrapText="1"/>
    </xf>
    <xf numFmtId="0" fontId="1" fillId="3" borderId="1" xfId="46" applyFont="1" applyFill="1" applyBorder="1" applyAlignment="1">
      <alignment horizontal="left" vertical="justify" wrapText="1"/>
    </xf>
    <xf numFmtId="0" fontId="2" fillId="2" borderId="0" xfId="46" applyFill="1"/>
    <xf numFmtId="0" fontId="2" fillId="2" borderId="1" xfId="46" applyFill="1" applyBorder="1"/>
    <xf numFmtId="0" fontId="41" fillId="2" borderId="0" xfId="46" applyFont="1" applyFill="1"/>
    <xf numFmtId="0" fontId="2" fillId="2" borderId="1" xfId="46" applyFill="1" applyBorder="1" applyAlignment="1">
      <alignment horizontal="center"/>
    </xf>
    <xf numFmtId="2" fontId="2" fillId="2" borderId="1" xfId="46" applyNumberFormat="1" applyFill="1" applyBorder="1"/>
    <xf numFmtId="2" fontId="1" fillId="2" borderId="1" xfId="46" applyNumberFormat="1" applyFont="1" applyFill="1" applyBorder="1"/>
    <xf numFmtId="0" fontId="9" fillId="0" borderId="0" xfId="46" applyFont="1" applyAlignment="1"/>
    <xf numFmtId="0" fontId="9" fillId="0" borderId="0" xfId="46" applyFont="1"/>
    <xf numFmtId="0" fontId="6" fillId="0" borderId="0" xfId="46" applyFont="1" applyAlignment="1"/>
    <xf numFmtId="0" fontId="6" fillId="0" borderId="0" xfId="46" applyFont="1" applyAlignment="1">
      <alignment horizontal="center"/>
    </xf>
    <xf numFmtId="0" fontId="9" fillId="0" borderId="0" xfId="46" applyFont="1" applyAlignment="1">
      <alignment horizontal="center"/>
    </xf>
    <xf numFmtId="0" fontId="9" fillId="0" borderId="1" xfId="46" applyFont="1" applyBorder="1"/>
    <xf numFmtId="0" fontId="9" fillId="0" borderId="1" xfId="46" applyFont="1" applyBorder="1" applyAlignment="1">
      <alignment horizontal="center"/>
    </xf>
    <xf numFmtId="0" fontId="9" fillId="0" borderId="0" xfId="46" applyFont="1" applyFill="1" applyBorder="1"/>
    <xf numFmtId="0" fontId="10" fillId="0" borderId="0" xfId="46" applyFont="1"/>
    <xf numFmtId="2" fontId="9" fillId="0" borderId="1" xfId="46" applyNumberFormat="1" applyFont="1" applyBorder="1" applyAlignment="1">
      <alignment horizontal="center"/>
    </xf>
    <xf numFmtId="1" fontId="9" fillId="0" borderId="1" xfId="46" applyNumberFormat="1" applyFont="1" applyBorder="1"/>
    <xf numFmtId="1" fontId="9" fillId="0" borderId="1" xfId="46" applyNumberFormat="1" applyFont="1" applyBorder="1" applyAlignment="1">
      <alignment horizontal="left"/>
    </xf>
    <xf numFmtId="0" fontId="9" fillId="0" borderId="1" xfId="46" applyFont="1" applyBorder="1" applyAlignment="1">
      <alignment horizontal="left"/>
    </xf>
    <xf numFmtId="0" fontId="20" fillId="0" borderId="0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0" xfId="0" applyFont="1" applyAlignment="1">
      <alignment vertical="center" wrapText="1"/>
    </xf>
    <xf numFmtId="0" fontId="61" fillId="0" borderId="0" xfId="0" applyFont="1"/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right" vertical="top" wrapText="1"/>
    </xf>
    <xf numFmtId="2" fontId="60" fillId="0" borderId="1" xfId="0" applyNumberFormat="1" applyFont="1" applyBorder="1" applyAlignment="1">
      <alignment horizontal="right" vertical="top" wrapText="1"/>
    </xf>
    <xf numFmtId="0" fontId="3" fillId="0" borderId="0" xfId="0" applyNumberFormat="1" applyFont="1" applyFill="1" applyBorder="1" applyAlignment="1" applyProtection="1"/>
    <xf numFmtId="0" fontId="62" fillId="0" borderId="0" xfId="0" applyNumberFormat="1" applyFont="1" applyFill="1" applyBorder="1" applyAlignment="1" applyProtection="1"/>
    <xf numFmtId="0" fontId="62" fillId="0" borderId="1" xfId="0" applyNumberFormat="1" applyFont="1" applyFill="1" applyBorder="1" applyAlignment="1" applyProtection="1"/>
    <xf numFmtId="0" fontId="62" fillId="0" borderId="0" xfId="0" applyNumberFormat="1" applyFont="1" applyFill="1" applyBorder="1" applyAlignment="1" applyProtection="1">
      <alignment horizontal="left" vertical="top"/>
    </xf>
    <xf numFmtId="0" fontId="62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/>
    <xf numFmtId="0" fontId="62" fillId="0" borderId="0" xfId="0" applyNumberFormat="1" applyFont="1" applyFill="1" applyBorder="1" applyAlignment="1" applyProtection="1">
      <alignment vertical="center" wrapText="1"/>
    </xf>
    <xf numFmtId="0" fontId="63" fillId="0" borderId="0" xfId="0" applyNumberFormat="1" applyFont="1" applyFill="1" applyBorder="1" applyAlignment="1" applyProtection="1"/>
    <xf numFmtId="0" fontId="64" fillId="0" borderId="1" xfId="0" applyNumberFormat="1" applyFont="1" applyFill="1" applyBorder="1" applyAlignment="1" applyProtection="1">
      <alignment horizontal="center" vertical="top" wrapText="1"/>
    </xf>
    <xf numFmtId="0" fontId="62" fillId="0" borderId="1" xfId="0" applyNumberFormat="1" applyFont="1" applyFill="1" applyBorder="1" applyAlignment="1" applyProtection="1">
      <alignment vertical="top" wrapText="1"/>
    </xf>
    <xf numFmtId="0" fontId="62" fillId="0" borderId="1" xfId="0" applyNumberFormat="1" applyFont="1" applyFill="1" applyBorder="1" applyAlignment="1" applyProtection="1">
      <alignment horizontal="center" vertical="top" wrapText="1"/>
    </xf>
    <xf numFmtId="2" fontId="62" fillId="0" borderId="1" xfId="0" applyNumberFormat="1" applyFont="1" applyFill="1" applyBorder="1" applyAlignment="1" applyProtection="1">
      <alignment horizontal="right" vertical="top" wrapText="1"/>
    </xf>
    <xf numFmtId="2" fontId="62" fillId="0" borderId="1" xfId="0" applyNumberFormat="1" applyFont="1" applyFill="1" applyBorder="1" applyAlignment="1" applyProtection="1">
      <alignment vertical="top" wrapText="1"/>
    </xf>
    <xf numFmtId="0" fontId="64" fillId="0" borderId="1" xfId="0" applyNumberFormat="1" applyFont="1" applyFill="1" applyBorder="1" applyAlignment="1" applyProtection="1">
      <alignment vertical="top" wrapText="1"/>
    </xf>
    <xf numFmtId="2" fontId="64" fillId="0" borderId="1" xfId="0" applyNumberFormat="1" applyFont="1" applyFill="1" applyBorder="1" applyAlignment="1" applyProtection="1">
      <alignment horizontal="right" vertical="top" wrapText="1"/>
    </xf>
    <xf numFmtId="0" fontId="8" fillId="3" borderId="0" xfId="2" applyFill="1" applyAlignment="1" applyProtection="1">
      <alignment horizontal="left"/>
    </xf>
    <xf numFmtId="0" fontId="40" fillId="0" borderId="0" xfId="51"/>
    <xf numFmtId="0" fontId="40" fillId="0" borderId="0" xfId="51" applyAlignment="1">
      <alignment wrapText="1"/>
    </xf>
    <xf numFmtId="0" fontId="27" fillId="0" borderId="1" xfId="51" applyFont="1" applyBorder="1"/>
    <xf numFmtId="0" fontId="40" fillId="0" borderId="1" xfId="51" applyBorder="1" applyAlignment="1">
      <alignment horizontal="left" vertical="center" wrapText="1"/>
    </xf>
    <xf numFmtId="0" fontId="27" fillId="0" borderId="1" xfId="51" applyFont="1" applyBorder="1" applyAlignment="1">
      <alignment horizontal="left" wrapText="1"/>
    </xf>
    <xf numFmtId="0" fontId="27" fillId="0" borderId="1" xfId="51" applyFont="1" applyBorder="1" applyAlignment="1">
      <alignment horizontal="left" vertical="center" wrapText="1"/>
    </xf>
    <xf numFmtId="0" fontId="27" fillId="0" borderId="1" xfId="51" applyFont="1" applyBorder="1" applyAlignment="1">
      <alignment vertical="center"/>
    </xf>
    <xf numFmtId="0" fontId="65" fillId="0" borderId="1" xfId="51" applyFont="1" applyFill="1" applyBorder="1" applyAlignment="1">
      <alignment wrapText="1"/>
    </xf>
    <xf numFmtId="0" fontId="65" fillId="0" borderId="1" xfId="51" applyFont="1" applyBorder="1" applyAlignment="1">
      <alignment horizontal="center" vertical="center" wrapText="1"/>
    </xf>
    <xf numFmtId="0" fontId="1" fillId="0" borderId="0" xfId="51" applyFont="1" applyAlignment="1">
      <alignment horizontal="center" vertical="center" wrapText="1"/>
    </xf>
    <xf numFmtId="0" fontId="1" fillId="0" borderId="1" xfId="51" applyFont="1" applyBorder="1" applyAlignment="1">
      <alignment wrapText="1"/>
    </xf>
    <xf numFmtId="0" fontId="40" fillId="0" borderId="0" xfId="51" applyBorder="1" applyAlignment="1">
      <alignment horizontal="center" vertical="center" wrapText="1"/>
    </xf>
    <xf numFmtId="0" fontId="40" fillId="0" borderId="1" xfId="51" applyBorder="1" applyAlignment="1">
      <alignment horizontal="center" vertical="center" wrapText="1"/>
    </xf>
    <xf numFmtId="0" fontId="40" fillId="0" borderId="1" xfId="51" applyBorder="1" applyAlignment="1">
      <alignment wrapText="1"/>
    </xf>
    <xf numFmtId="0" fontId="67" fillId="0" borderId="0" xfId="0" applyFont="1"/>
    <xf numFmtId="166" fontId="67" fillId="0" borderId="1" xfId="0" applyNumberFormat="1" applyFont="1" applyBorder="1"/>
    <xf numFmtId="2" fontId="67" fillId="0" borderId="1" xfId="0" applyNumberFormat="1" applyFont="1" applyBorder="1"/>
    <xf numFmtId="0" fontId="67" fillId="0" borderId="1" xfId="0" applyFont="1" applyBorder="1"/>
    <xf numFmtId="0" fontId="67" fillId="0" borderId="1" xfId="0" applyFont="1" applyBorder="1" applyAlignment="1">
      <alignment horizontal="right"/>
    </xf>
    <xf numFmtId="166" fontId="27" fillId="0" borderId="1" xfId="0" applyNumberFormat="1" applyFont="1" applyBorder="1"/>
    <xf numFmtId="0" fontId="27" fillId="0" borderId="1" xfId="0" applyFont="1" applyBorder="1"/>
    <xf numFmtId="2" fontId="27" fillId="0" borderId="1" xfId="0" applyNumberFormat="1" applyFont="1" applyBorder="1" applyAlignment="1">
      <alignment horizontal="right" wrapText="1"/>
    </xf>
    <xf numFmtId="0" fontId="27" fillId="0" borderId="1" xfId="0" applyFont="1" applyBorder="1" applyAlignment="1">
      <alignment horizontal="center" wrapText="1"/>
    </xf>
    <xf numFmtId="0" fontId="68" fillId="0" borderId="0" xfId="0" applyFont="1"/>
    <xf numFmtId="0" fontId="27" fillId="0" borderId="0" xfId="0" applyFont="1" applyBorder="1"/>
    <xf numFmtId="0" fontId="27" fillId="0" borderId="0" xfId="0" applyFont="1" applyFill="1" applyBorder="1"/>
    <xf numFmtId="0" fontId="27" fillId="0" borderId="0" xfId="0" applyFont="1" applyBorder="1" applyAlignment="1">
      <alignment vertical="center" wrapText="1"/>
    </xf>
    <xf numFmtId="0" fontId="0" fillId="0" borderId="0" xfId="0"/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" xfId="0" applyBorder="1"/>
    <xf numFmtId="0" fontId="1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1" fontId="0" fillId="0" borderId="1" xfId="0" applyNumberForma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72" fillId="0" borderId="0" xfId="0" applyFont="1" applyAlignment="1">
      <alignment vertical="center" wrapText="1"/>
    </xf>
    <xf numFmtId="0" fontId="72" fillId="0" borderId="0" xfId="0" applyFont="1"/>
    <xf numFmtId="2" fontId="72" fillId="0" borderId="1" xfId="0" applyNumberFormat="1" applyFont="1" applyBorder="1"/>
    <xf numFmtId="0" fontId="72" fillId="0" borderId="1" xfId="0" applyFont="1" applyBorder="1"/>
    <xf numFmtId="0" fontId="72" fillId="0" borderId="1" xfId="0" applyFont="1" applyBorder="1" applyAlignment="1">
      <alignment vertical="center" wrapText="1"/>
    </xf>
    <xf numFmtId="0" fontId="72" fillId="0" borderId="1" xfId="0" applyFont="1" applyFill="1" applyBorder="1" applyAlignment="1">
      <alignment vertical="center" wrapText="1"/>
    </xf>
    <xf numFmtId="0" fontId="74" fillId="0" borderId="0" xfId="0" applyFont="1" applyAlignment="1">
      <alignment vertical="center" wrapText="1"/>
    </xf>
    <xf numFmtId="0" fontId="72" fillId="0" borderId="4" xfId="0" applyFont="1" applyBorder="1" applyAlignment="1">
      <alignment vertical="center" wrapText="1"/>
    </xf>
    <xf numFmtId="0" fontId="75" fillId="0" borderId="0" xfId="0" applyFont="1" applyAlignment="1">
      <alignment vertical="center" wrapText="1"/>
    </xf>
    <xf numFmtId="0" fontId="7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2" fontId="72" fillId="0" borderId="1" xfId="0" applyNumberFormat="1" applyFont="1" applyBorder="1" applyAlignment="1">
      <alignment vertical="center" wrapText="1"/>
    </xf>
    <xf numFmtId="2" fontId="72" fillId="0" borderId="1" xfId="56" applyNumberFormat="1" applyFont="1" applyBorder="1" applyAlignment="1">
      <alignment vertical="center" wrapText="1"/>
    </xf>
    <xf numFmtId="2" fontId="76" fillId="0" borderId="1" xfId="0" applyNumberFormat="1" applyFont="1" applyBorder="1" applyAlignment="1">
      <alignment vertical="center" wrapText="1"/>
    </xf>
    <xf numFmtId="164" fontId="72" fillId="0" borderId="1" xfId="0" applyNumberFormat="1" applyFont="1" applyBorder="1" applyAlignment="1">
      <alignment vertical="center" wrapText="1"/>
    </xf>
    <xf numFmtId="0" fontId="67" fillId="0" borderId="1" xfId="0" applyFont="1" applyBorder="1" applyAlignment="1">
      <alignment vertical="center"/>
    </xf>
    <xf numFmtId="0" fontId="72" fillId="0" borderId="1" xfId="0" applyFont="1" applyBorder="1" applyAlignment="1">
      <alignment horizontal="left" vertical="center" wrapText="1"/>
    </xf>
    <xf numFmtId="0" fontId="76" fillId="0" borderId="1" xfId="0" applyFont="1" applyBorder="1" applyAlignment="1">
      <alignment vertical="center" wrapText="1"/>
    </xf>
    <xf numFmtId="2" fontId="76" fillId="0" borderId="1" xfId="56" applyNumberFormat="1" applyFont="1" applyBorder="1" applyAlignment="1">
      <alignment vertical="center" wrapText="1"/>
    </xf>
    <xf numFmtId="2" fontId="72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/>
    </xf>
    <xf numFmtId="0" fontId="7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2" fontId="27" fillId="0" borderId="1" xfId="0" applyNumberFormat="1" applyFont="1" applyBorder="1" applyAlignment="1">
      <alignment vertical="center"/>
    </xf>
    <xf numFmtId="2" fontId="27" fillId="0" borderId="1" xfId="0" applyNumberFormat="1" applyFont="1" applyBorder="1" applyAlignment="1">
      <alignment horizontal="right" vertical="center"/>
    </xf>
    <xf numFmtId="2" fontId="67" fillId="0" borderId="8" xfId="0" applyNumberFormat="1" applyFont="1" applyBorder="1" applyAlignment="1">
      <alignment horizontal="center" vertical="center"/>
    </xf>
    <xf numFmtId="2" fontId="67" fillId="0" borderId="8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 indent="2"/>
    </xf>
    <xf numFmtId="2" fontId="27" fillId="0" borderId="8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 wrapText="1" indent="2"/>
    </xf>
    <xf numFmtId="2" fontId="27" fillId="0" borderId="8" xfId="0" applyNumberFormat="1" applyFont="1" applyBorder="1" applyAlignment="1">
      <alignment horizontal="center" vertical="center"/>
    </xf>
    <xf numFmtId="2" fontId="67" fillId="0" borderId="1" xfId="0" applyNumberFormat="1" applyFont="1" applyBorder="1" applyAlignment="1">
      <alignment vertical="center"/>
    </xf>
    <xf numFmtId="2" fontId="27" fillId="0" borderId="8" xfId="0" applyNumberFormat="1" applyFont="1" applyFill="1" applyBorder="1" applyAlignment="1">
      <alignment horizontal="center" vertical="center"/>
    </xf>
    <xf numFmtId="0" fontId="72" fillId="0" borderId="0" xfId="51" applyFont="1" applyAlignment="1">
      <alignment vertical="center" wrapText="1"/>
    </xf>
    <xf numFmtId="0" fontId="72" fillId="0" borderId="0" xfId="51" applyFont="1"/>
    <xf numFmtId="0" fontId="72" fillId="0" borderId="1" xfId="51" applyFont="1" applyBorder="1"/>
    <xf numFmtId="0" fontId="72" fillId="0" borderId="1" xfId="51" applyFont="1" applyBorder="1" applyAlignment="1">
      <alignment vertical="center" wrapText="1"/>
    </xf>
    <xf numFmtId="0" fontId="74" fillId="0" borderId="0" xfId="51" applyFont="1" applyAlignment="1">
      <alignment vertical="center" wrapText="1"/>
    </xf>
    <xf numFmtId="0" fontId="75" fillId="0" borderId="0" xfId="51" applyFont="1" applyAlignment="1">
      <alignment vertical="center" wrapText="1"/>
    </xf>
    <xf numFmtId="0" fontId="76" fillId="0" borderId="1" xfId="51" applyFont="1" applyBorder="1" applyAlignment="1">
      <alignment horizontal="center" vertical="center" wrapText="1"/>
    </xf>
    <xf numFmtId="2" fontId="72" fillId="0" borderId="1" xfId="51" applyNumberFormat="1" applyFont="1" applyBorder="1" applyAlignment="1">
      <alignment vertical="center" wrapText="1"/>
    </xf>
    <xf numFmtId="0" fontId="76" fillId="0" borderId="1" xfId="51" applyFont="1" applyBorder="1" applyAlignment="1">
      <alignment vertical="center" wrapText="1"/>
    </xf>
    <xf numFmtId="0" fontId="67" fillId="0" borderId="1" xfId="51" applyFont="1" applyFill="1" applyBorder="1" applyAlignment="1">
      <alignment vertical="center"/>
    </xf>
    <xf numFmtId="0" fontId="27" fillId="0" borderId="1" xfId="51" applyFont="1" applyFill="1" applyBorder="1" applyAlignment="1">
      <alignment vertical="center"/>
    </xf>
    <xf numFmtId="0" fontId="72" fillId="0" borderId="1" xfId="51" applyFont="1" applyFill="1" applyBorder="1" applyAlignment="1">
      <alignment vertical="center" wrapText="1"/>
    </xf>
    <xf numFmtId="2" fontId="72" fillId="0" borderId="1" xfId="51" applyNumberFormat="1" applyFont="1" applyFill="1" applyBorder="1" applyAlignment="1">
      <alignment vertical="center" wrapText="1"/>
    </xf>
    <xf numFmtId="0" fontId="76" fillId="0" borderId="1" xfId="51" applyFont="1" applyFill="1" applyBorder="1" applyAlignment="1">
      <alignment vertical="center" wrapText="1"/>
    </xf>
    <xf numFmtId="0" fontId="72" fillId="0" borderId="0" xfId="51" applyFont="1" applyFill="1" applyAlignment="1">
      <alignment vertical="center" wrapText="1"/>
    </xf>
    <xf numFmtId="2" fontId="76" fillId="0" borderId="1" xfId="51" applyNumberFormat="1" applyFont="1" applyBorder="1" applyAlignment="1">
      <alignment vertical="center" wrapText="1"/>
    </xf>
    <xf numFmtId="0" fontId="80" fillId="0" borderId="0" xfId="0" applyFont="1"/>
    <xf numFmtId="0" fontId="81" fillId="0" borderId="0" xfId="0" applyFont="1" applyAlignment="1">
      <alignment vertical="center"/>
    </xf>
    <xf numFmtId="0" fontId="81" fillId="0" borderId="0" xfId="0" applyFont="1" applyAlignment="1">
      <alignment horizontal="center" vertical="center"/>
    </xf>
    <xf numFmtId="0" fontId="81" fillId="0" borderId="18" xfId="0" applyFont="1" applyBorder="1" applyAlignment="1">
      <alignment horizontal="center" vertical="center"/>
    </xf>
    <xf numFmtId="0" fontId="81" fillId="0" borderId="0" xfId="0" applyFont="1"/>
    <xf numFmtId="0" fontId="81" fillId="0" borderId="0" xfId="0" applyFont="1" applyBorder="1" applyAlignment="1">
      <alignment horizontal="center"/>
    </xf>
    <xf numFmtId="0" fontId="80" fillId="0" borderId="0" xfId="0" applyFont="1" applyBorder="1"/>
    <xf numFmtId="0" fontId="81" fillId="0" borderId="0" xfId="0" applyFont="1" applyAlignment="1">
      <alignment horizontal="left"/>
    </xf>
    <xf numFmtId="0" fontId="81" fillId="0" borderId="0" xfId="0" applyFont="1" applyBorder="1"/>
    <xf numFmtId="0" fontId="81" fillId="0" borderId="0" xfId="0" applyFont="1" applyAlignment="1">
      <alignment horizontal="center"/>
    </xf>
    <xf numFmtId="0" fontId="83" fillId="0" borderId="23" xfId="0" applyFont="1" applyBorder="1" applyAlignment="1">
      <alignment vertical="top"/>
    </xf>
    <xf numFmtId="0" fontId="83" fillId="0" borderId="0" xfId="0" applyFont="1"/>
    <xf numFmtId="0" fontId="81" fillId="0" borderId="18" xfId="0" applyFont="1" applyBorder="1"/>
    <xf numFmtId="0" fontId="81" fillId="0" borderId="18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0" fontId="81" fillId="0" borderId="1" xfId="0" applyFont="1" applyBorder="1"/>
    <xf numFmtId="0" fontId="81" fillId="0" borderId="1" xfId="0" applyFont="1" applyBorder="1" applyAlignment="1">
      <alignment vertical="center" wrapText="1"/>
    </xf>
    <xf numFmtId="2" fontId="80" fillId="0" borderId="1" xfId="0" applyNumberFormat="1" applyFont="1" applyBorder="1" applyAlignment="1">
      <alignment vertical="top" wrapText="1"/>
    </xf>
    <xf numFmtId="2" fontId="80" fillId="0" borderId="1" xfId="0" applyNumberFormat="1" applyFont="1" applyBorder="1" applyAlignment="1">
      <alignment horizontal="right" vertical="top" wrapText="1"/>
    </xf>
    <xf numFmtId="2" fontId="80" fillId="0" borderId="1" xfId="55" applyNumberFormat="1" applyFont="1" applyBorder="1" applyAlignment="1">
      <alignment vertical="top" wrapText="1"/>
    </xf>
    <xf numFmtId="0" fontId="81" fillId="0" borderId="1" xfId="0" applyFont="1" applyBorder="1" applyAlignment="1">
      <alignment vertical="center"/>
    </xf>
    <xf numFmtId="0" fontId="6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81" fillId="0" borderId="1" xfId="0" applyFont="1" applyFill="1" applyBorder="1" applyAlignment="1">
      <alignment vertical="center" wrapText="1"/>
    </xf>
    <xf numFmtId="2" fontId="80" fillId="0" borderId="1" xfId="0" applyNumberFormat="1" applyFont="1" applyFill="1" applyBorder="1" applyAlignment="1">
      <alignment vertical="top" wrapText="1"/>
    </xf>
    <xf numFmtId="2" fontId="80" fillId="0" borderId="1" xfId="0" applyNumberFormat="1" applyFont="1" applyFill="1" applyBorder="1" applyAlignment="1">
      <alignment horizontal="right" vertical="top" wrapText="1"/>
    </xf>
    <xf numFmtId="2" fontId="80" fillId="0" borderId="1" xfId="55" applyNumberFormat="1" applyFont="1" applyFill="1" applyBorder="1" applyAlignment="1">
      <alignment vertical="top" wrapText="1"/>
    </xf>
    <xf numFmtId="0" fontId="80" fillId="0" borderId="0" xfId="0" applyFont="1" applyFill="1"/>
    <xf numFmtId="0" fontId="81" fillId="0" borderId="1" xfId="0" applyFont="1" applyBorder="1" applyAlignment="1">
      <alignment horizontal="left" vertical="center" wrapText="1"/>
    </xf>
    <xf numFmtId="2" fontId="81" fillId="0" borderId="1" xfId="0" applyNumberFormat="1" applyFont="1" applyBorder="1" applyAlignment="1">
      <alignment vertical="center" wrapText="1"/>
    </xf>
    <xf numFmtId="0" fontId="80" fillId="0" borderId="1" xfId="0" applyFont="1" applyBorder="1"/>
    <xf numFmtId="2" fontId="81" fillId="0" borderId="1" xfId="0" applyNumberFormat="1" applyFont="1" applyBorder="1" applyAlignment="1">
      <alignment vertical="top" wrapText="1"/>
    </xf>
    <xf numFmtId="2" fontId="81" fillId="0" borderId="1" xfId="0" applyNumberFormat="1" applyFont="1" applyBorder="1" applyAlignment="1">
      <alignment horizontal="right" vertical="top" wrapText="1"/>
    </xf>
    <xf numFmtId="2" fontId="81" fillId="0" borderId="1" xfId="55" applyNumberFormat="1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67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vertical="center"/>
    </xf>
    <xf numFmtId="0" fontId="27" fillId="5" borderId="0" xfId="0" applyFont="1" applyFill="1" applyAlignment="1">
      <alignment vertical="center"/>
    </xf>
    <xf numFmtId="2" fontId="67" fillId="5" borderId="8" xfId="0" applyNumberFormat="1" applyFont="1" applyFill="1" applyBorder="1" applyAlignment="1">
      <alignment horizontal="center" vertical="center"/>
    </xf>
    <xf numFmtId="2" fontId="27" fillId="5" borderId="1" xfId="0" applyNumberFormat="1" applyFont="1" applyFill="1" applyBorder="1" applyAlignment="1">
      <alignment vertical="center"/>
    </xf>
    <xf numFmtId="2" fontId="67" fillId="0" borderId="1" xfId="0" applyNumberFormat="1" applyFont="1" applyFill="1" applyBorder="1" applyAlignment="1">
      <alignment vertical="center"/>
    </xf>
    <xf numFmtId="2" fontId="27" fillId="0" borderId="0" xfId="0" applyNumberFormat="1" applyFont="1" applyAlignment="1">
      <alignment vertical="center"/>
    </xf>
    <xf numFmtId="0" fontId="67" fillId="5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66" fillId="0" borderId="1" xfId="51" applyFont="1" applyBorder="1" applyAlignment="1">
      <alignment horizontal="center" vertical="center" wrapText="1"/>
    </xf>
    <xf numFmtId="0" fontId="40" fillId="0" borderId="0" xfId="5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" fontId="0" fillId="0" borderId="5" xfId="0" applyNumberFormat="1" applyBorder="1" applyAlignment="1">
      <alignment vertical="center"/>
    </xf>
    <xf numFmtId="3" fontId="50" fillId="0" borderId="1" xfId="0" applyNumberFormat="1" applyFont="1" applyBorder="1" applyAlignment="1">
      <alignment horizontal="right" vertical="top" wrapText="1"/>
    </xf>
    <xf numFmtId="3" fontId="53" fillId="0" borderId="1" xfId="0" applyNumberFormat="1" applyFont="1" applyBorder="1" applyAlignment="1">
      <alignment horizontal="right"/>
    </xf>
    <xf numFmtId="3" fontId="51" fillId="0" borderId="1" xfId="0" applyNumberFormat="1" applyFont="1" applyBorder="1" applyAlignment="1">
      <alignment horizontal="right"/>
    </xf>
    <xf numFmtId="3" fontId="50" fillId="0" borderId="1" xfId="0" applyNumberFormat="1" applyFont="1" applyBorder="1"/>
    <xf numFmtId="3" fontId="0" fillId="0" borderId="7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52" fillId="0" borderId="1" xfId="0" applyNumberFormat="1" applyFont="1" applyBorder="1" applyAlignment="1">
      <alignment horizontal="right" vertical="top" wrapText="1"/>
    </xf>
    <xf numFmtId="3" fontId="27" fillId="0" borderId="1" xfId="0" applyNumberFormat="1" applyFont="1" applyBorder="1"/>
    <xf numFmtId="1" fontId="1" fillId="0" borderId="5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84" fillId="0" borderId="1" xfId="0" applyNumberFormat="1" applyFont="1" applyBorder="1" applyAlignment="1">
      <alignment horizontal="right"/>
    </xf>
    <xf numFmtId="0" fontId="0" fillId="0" borderId="0" xfId="0" applyFill="1" applyBorder="1" applyAlignment="1">
      <alignment vertical="top"/>
    </xf>
    <xf numFmtId="1" fontId="54" fillId="5" borderId="19" xfId="52" applyNumberFormat="1" applyFont="1" applyFill="1" applyBorder="1" applyAlignment="1">
      <alignment vertical="center" wrapText="1"/>
    </xf>
    <xf numFmtId="1" fontId="43" fillId="5" borderId="17" xfId="52" applyNumberFormat="1" applyFill="1" applyAlignment="1">
      <alignment wrapText="1"/>
    </xf>
    <xf numFmtId="1" fontId="0" fillId="0" borderId="1" xfId="0" applyNumberFormat="1" applyFill="1" applyBorder="1" applyAlignment="1">
      <alignment vertical="center"/>
    </xf>
    <xf numFmtId="0" fontId="29" fillId="6" borderId="0" xfId="0" applyFont="1" applyFill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168" fontId="2" fillId="0" borderId="1" xfId="57" applyNumberFormat="1" applyFont="1" applyBorder="1" applyAlignment="1">
      <alignment horizontal="right" vertical="center" wrapText="1"/>
    </xf>
    <xf numFmtId="168" fontId="2" fillId="0" borderId="1" xfId="57" applyNumberFormat="1" applyFont="1" applyBorder="1" applyAlignment="1">
      <alignment horizontal="right" wrapText="1"/>
    </xf>
    <xf numFmtId="168" fontId="1" fillId="0" borderId="1" xfId="57" applyNumberFormat="1" applyFont="1" applyBorder="1" applyAlignment="1">
      <alignment horizontal="right" vertical="center" wrapText="1"/>
    </xf>
    <xf numFmtId="0" fontId="25" fillId="0" borderId="18" xfId="0" applyFont="1" applyBorder="1"/>
    <xf numFmtId="0" fontId="26" fillId="0" borderId="7" xfId="0" applyFont="1" applyBorder="1"/>
    <xf numFmtId="0" fontId="48" fillId="0" borderId="1" xfId="0" applyFont="1" applyBorder="1" applyAlignment="1">
      <alignment vertical="center" wrapText="1"/>
    </xf>
    <xf numFmtId="0" fontId="8" fillId="0" borderId="0" xfId="2" applyAlignment="1" applyProtection="1"/>
    <xf numFmtId="0" fontId="60" fillId="0" borderId="1" xfId="0" applyFont="1" applyBorder="1" applyAlignment="1">
      <alignment vertical="top" wrapText="1"/>
    </xf>
    <xf numFmtId="0" fontId="60" fillId="0" borderId="1" xfId="0" applyFont="1" applyBorder="1" applyAlignment="1">
      <alignment horizontal="center" vertical="top" wrapText="1"/>
    </xf>
    <xf numFmtId="0" fontId="0" fillId="0" borderId="0" xfId="0" applyBorder="1" applyAlignment="1"/>
    <xf numFmtId="2" fontId="20" fillId="0" borderId="1" xfId="0" applyNumberFormat="1" applyFont="1" applyBorder="1" applyAlignment="1">
      <alignment vertical="top" wrapText="1"/>
    </xf>
    <xf numFmtId="2" fontId="20" fillId="0" borderId="1" xfId="0" applyNumberFormat="1" applyFont="1" applyBorder="1" applyAlignment="1">
      <alignment horizontal="center" vertical="top" wrapText="1"/>
    </xf>
    <xf numFmtId="2" fontId="62" fillId="0" borderId="1" xfId="0" applyNumberFormat="1" applyFont="1" applyFill="1" applyBorder="1" applyAlignment="1" applyProtection="1">
      <alignment horizontal="center" vertical="top" wrapText="1"/>
    </xf>
    <xf numFmtId="2" fontId="62" fillId="0" borderId="0" xfId="0" applyNumberFormat="1" applyFont="1" applyFill="1" applyBorder="1" applyAlignment="1" applyProtection="1">
      <alignment vertical="top" wrapText="1"/>
    </xf>
    <xf numFmtId="16" fontId="60" fillId="0" borderId="1" xfId="0" applyNumberFormat="1" applyFont="1" applyBorder="1" applyAlignment="1">
      <alignment horizontal="center" vertical="top" wrapText="1"/>
    </xf>
    <xf numFmtId="0" fontId="2" fillId="0" borderId="1" xfId="46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46" applyBorder="1" applyAlignment="1">
      <alignment horizontal="left"/>
    </xf>
    <xf numFmtId="0" fontId="48" fillId="0" borderId="0" xfId="46" applyFont="1" applyAlignment="1">
      <alignment horizontal="center"/>
    </xf>
    <xf numFmtId="0" fontId="2" fillId="6" borderId="1" xfId="46" applyFill="1" applyBorder="1"/>
    <xf numFmtId="0" fontId="2" fillId="0" borderId="0" xfId="46" applyFill="1" applyBorder="1" applyAlignment="1"/>
    <xf numFmtId="0" fontId="2" fillId="6" borderId="8" xfId="46" applyFill="1" applyBorder="1"/>
    <xf numFmtId="0" fontId="2" fillId="0" borderId="15" xfId="46" applyBorder="1"/>
    <xf numFmtId="0" fontId="2" fillId="0" borderId="0" xfId="46" applyBorder="1"/>
    <xf numFmtId="0" fontId="2" fillId="6" borderId="4" xfId="46" applyFill="1" applyBorder="1" applyAlignment="1">
      <alignment vertical="center" wrapText="1"/>
    </xf>
    <xf numFmtId="0" fontId="2" fillId="6" borderId="4" xfId="46" applyFill="1" applyBorder="1" applyAlignment="1">
      <alignment horizontal="center"/>
    </xf>
    <xf numFmtId="0" fontId="2" fillId="6" borderId="1" xfId="46" applyFill="1" applyBorder="1" applyAlignment="1">
      <alignment horizontal="left"/>
    </xf>
    <xf numFmtId="0" fontId="2" fillId="6" borderId="1" xfId="46" applyFill="1" applyBorder="1" applyAlignment="1"/>
    <xf numFmtId="0" fontId="2" fillId="6" borderId="5" xfId="46" applyFill="1" applyBorder="1"/>
    <xf numFmtId="0" fontId="2" fillId="6" borderId="7" xfId="46" applyFill="1" applyBorder="1"/>
    <xf numFmtId="0" fontId="1" fillId="0" borderId="8" xfId="46" applyFont="1" applyBorder="1"/>
    <xf numFmtId="2" fontId="1" fillId="6" borderId="1" xfId="46" applyNumberFormat="1" applyFont="1" applyFill="1" applyBorder="1" applyAlignment="1">
      <alignment horizontal="center" vertical="center" wrapText="1"/>
    </xf>
    <xf numFmtId="0" fontId="1" fillId="6" borderId="1" xfId="46" applyFont="1" applyFill="1" applyBorder="1" applyAlignment="1">
      <alignment horizontal="center" vertical="center" wrapText="1"/>
    </xf>
    <xf numFmtId="0" fontId="35" fillId="6" borderId="1" xfId="46" applyFont="1" applyFill="1" applyBorder="1" applyAlignment="1">
      <alignment vertical="center" wrapText="1"/>
    </xf>
    <xf numFmtId="0" fontId="2" fillId="6" borderId="1" xfId="46" applyFill="1" applyBorder="1" applyAlignment="1">
      <alignment horizontal="left" vertical="center" wrapText="1"/>
    </xf>
    <xf numFmtId="2" fontId="2" fillId="0" borderId="0" xfId="46" applyNumberFormat="1"/>
    <xf numFmtId="0" fontId="24" fillId="6" borderId="1" xfId="46" applyFont="1" applyFill="1" applyBorder="1" applyAlignment="1">
      <alignment horizontal="left" vertical="center" wrapText="1"/>
    </xf>
    <xf numFmtId="0" fontId="0" fillId="6" borderId="1" xfId="0" applyFill="1" applyBorder="1" applyAlignment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0" borderId="4" xfId="0" applyBorder="1"/>
    <xf numFmtId="0" fontId="85" fillId="0" borderId="0" xfId="0" applyFont="1" applyBorder="1"/>
    <xf numFmtId="1" fontId="0" fillId="0" borderId="1" xfId="0" applyNumberFormat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28" fillId="6" borderId="5" xfId="0" applyFont="1" applyFill="1" applyBorder="1" applyAlignment="1">
      <alignment wrapText="1"/>
    </xf>
    <xf numFmtId="0" fontId="28" fillId="6" borderId="1" xfId="0" applyFont="1" applyFill="1" applyBorder="1" applyAlignment="1">
      <alignment horizontal="left"/>
    </xf>
    <xf numFmtId="0" fontId="28" fillId="6" borderId="1" xfId="0" applyFont="1" applyFill="1" applyBorder="1" applyAlignment="1">
      <alignment horizontal="right"/>
    </xf>
    <xf numFmtId="0" fontId="28" fillId="6" borderId="1" xfId="0" applyFont="1" applyFill="1" applyBorder="1" applyAlignment="1"/>
    <xf numFmtId="0" fontId="28" fillId="6" borderId="1" xfId="0" applyFont="1" applyFill="1" applyBorder="1" applyAlignment="1">
      <alignment horizontal="left" wrapText="1"/>
    </xf>
    <xf numFmtId="0" fontId="28" fillId="6" borderId="1" xfId="0" applyFont="1" applyFill="1" applyBorder="1" applyAlignment="1">
      <alignment wrapText="1"/>
    </xf>
    <xf numFmtId="2" fontId="28" fillId="0" borderId="1" xfId="0" applyNumberFormat="1" applyFont="1" applyBorder="1" applyAlignment="1">
      <alignment wrapText="1"/>
    </xf>
    <xf numFmtId="2" fontId="28" fillId="0" borderId="1" xfId="0" applyNumberFormat="1" applyFont="1" applyBorder="1"/>
    <xf numFmtId="0" fontId="28" fillId="6" borderId="1" xfId="0" applyFont="1" applyFill="1" applyBorder="1"/>
    <xf numFmtId="0" fontId="8" fillId="3" borderId="0" xfId="2" applyFill="1" applyAlignment="1" applyProtection="1">
      <alignment horizontal="left"/>
    </xf>
    <xf numFmtId="0" fontId="5" fillId="3" borderId="0" xfId="46" applyFont="1" applyFill="1" applyAlignment="1">
      <alignment horizontal="center"/>
    </xf>
    <xf numFmtId="0" fontId="2" fillId="3" borderId="1" xfId="46" applyFill="1" applyBorder="1" applyAlignment="1">
      <alignment horizontal="center"/>
    </xf>
    <xf numFmtId="0" fontId="2" fillId="3" borderId="2" xfId="46" applyFill="1" applyBorder="1" applyAlignment="1">
      <alignment horizontal="center"/>
    </xf>
    <xf numFmtId="0" fontId="2" fillId="3" borderId="0" xfId="46" applyFill="1" applyAlignment="1">
      <alignment horizontal="center"/>
    </xf>
    <xf numFmtId="0" fontId="2" fillId="3" borderId="3" xfId="46" applyFill="1" applyBorder="1" applyAlignment="1">
      <alignment horizontal="center"/>
    </xf>
    <xf numFmtId="0" fontId="2" fillId="3" borderId="0" xfId="46" applyFill="1" applyBorder="1" applyAlignment="1">
      <alignment horizontal="center" vertical="justify" wrapText="1"/>
    </xf>
    <xf numFmtId="0" fontId="41" fillId="3" borderId="9" xfId="46" applyFont="1" applyFill="1" applyBorder="1" applyAlignment="1">
      <alignment horizontal="center" wrapText="1"/>
    </xf>
    <xf numFmtId="0" fontId="2" fillId="3" borderId="10" xfId="46" applyFill="1" applyBorder="1" applyAlignment="1">
      <alignment horizontal="center"/>
    </xf>
    <xf numFmtId="0" fontId="2" fillId="3" borderId="11" xfId="46" applyFill="1" applyBorder="1" applyAlignment="1">
      <alignment horizontal="center"/>
    </xf>
    <xf numFmtId="0" fontId="2" fillId="3" borderId="0" xfId="46" applyFill="1" applyBorder="1" applyAlignment="1">
      <alignment horizontal="center"/>
    </xf>
    <xf numFmtId="0" fontId="2" fillId="3" borderId="12" xfId="46" applyFill="1" applyBorder="1" applyAlignment="1">
      <alignment horizontal="center"/>
    </xf>
    <xf numFmtId="0" fontId="2" fillId="3" borderId="13" xfId="46" applyFill="1" applyBorder="1" applyAlignment="1">
      <alignment horizontal="center"/>
    </xf>
    <xf numFmtId="0" fontId="2" fillId="3" borderId="14" xfId="46" applyFill="1" applyBorder="1" applyAlignment="1">
      <alignment horizontal="center"/>
    </xf>
    <xf numFmtId="0" fontId="41" fillId="3" borderId="1" xfId="46" applyFont="1" applyFill="1" applyBorder="1" applyAlignment="1">
      <alignment horizontal="center" wrapText="1"/>
    </xf>
    <xf numFmtId="0" fontId="41" fillId="3" borderId="1" xfId="46" applyFont="1" applyFill="1" applyBorder="1" applyAlignment="1">
      <alignment horizontal="center"/>
    </xf>
    <xf numFmtId="0" fontId="2" fillId="3" borderId="4" xfId="46" applyFill="1" applyBorder="1" applyAlignment="1">
      <alignment horizontal="center" vertical="justify" wrapText="1"/>
    </xf>
    <xf numFmtId="0" fontId="2" fillId="3" borderId="8" xfId="46" applyFill="1" applyBorder="1" applyAlignment="1">
      <alignment horizontal="center" vertical="justify" wrapText="1"/>
    </xf>
    <xf numFmtId="0" fontId="2" fillId="3" borderId="5" xfId="46" applyFill="1" applyBorder="1" applyAlignment="1">
      <alignment horizontal="center"/>
    </xf>
    <xf numFmtId="0" fontId="2" fillId="3" borderId="6" xfId="46" applyFill="1" applyBorder="1" applyAlignment="1">
      <alignment horizontal="center"/>
    </xf>
    <xf numFmtId="0" fontId="2" fillId="3" borderId="7" xfId="46" applyFill="1" applyBorder="1" applyAlignment="1">
      <alignment horizontal="center"/>
    </xf>
    <xf numFmtId="0" fontId="11" fillId="0" borderId="0" xfId="46" applyFont="1" applyAlignment="1">
      <alignment horizontal="center"/>
    </xf>
    <xf numFmtId="0" fontId="9" fillId="0" borderId="5" xfId="46" applyFont="1" applyBorder="1" applyAlignment="1">
      <alignment horizontal="center"/>
    </xf>
    <xf numFmtId="0" fontId="9" fillId="0" borderId="6" xfId="46" applyFont="1" applyBorder="1" applyAlignment="1">
      <alignment horizontal="center"/>
    </xf>
    <xf numFmtId="0" fontId="9" fillId="0" borderId="7" xfId="46" applyFont="1" applyBorder="1" applyAlignment="1">
      <alignment horizontal="center"/>
    </xf>
    <xf numFmtId="0" fontId="9" fillId="0" borderId="0" xfId="46" applyFont="1" applyAlignment="1">
      <alignment horizontal="center" wrapText="1"/>
    </xf>
    <xf numFmtId="0" fontId="9" fillId="0" borderId="3" xfId="46" applyFont="1" applyBorder="1" applyAlignment="1">
      <alignment horizontal="center" wrapText="1"/>
    </xf>
    <xf numFmtId="0" fontId="8" fillId="3" borderId="0" xfId="2" applyFill="1" applyAlignment="1" applyProtection="1">
      <alignment horizontal="left"/>
    </xf>
    <xf numFmtId="1" fontId="9" fillId="0" borderId="5" xfId="46" applyNumberFormat="1" applyFont="1" applyBorder="1" applyAlignment="1">
      <alignment horizontal="center"/>
    </xf>
    <xf numFmtId="1" fontId="9" fillId="0" borderId="7" xfId="46" applyNumberFormat="1" applyFont="1" applyBorder="1" applyAlignment="1">
      <alignment horizontal="center"/>
    </xf>
    <xf numFmtId="0" fontId="10" fillId="0" borderId="9" xfId="46" applyFont="1" applyBorder="1" applyAlignment="1">
      <alignment horizontal="left" vertical="top" wrapText="1"/>
    </xf>
    <xf numFmtId="0" fontId="10" fillId="0" borderId="10" xfId="46" applyFont="1" applyBorder="1" applyAlignment="1">
      <alignment horizontal="left" vertical="top" wrapText="1"/>
    </xf>
    <xf numFmtId="0" fontId="10" fillId="0" borderId="11" xfId="46" applyFont="1" applyBorder="1" applyAlignment="1">
      <alignment horizontal="left" vertical="top" wrapText="1"/>
    </xf>
    <xf numFmtId="0" fontId="10" fillId="0" borderId="2" xfId="46" applyFont="1" applyBorder="1" applyAlignment="1">
      <alignment horizontal="left" vertical="top" wrapText="1"/>
    </xf>
    <xf numFmtId="0" fontId="10" fillId="0" borderId="0" xfId="46" applyFont="1" applyBorder="1" applyAlignment="1">
      <alignment horizontal="left" vertical="top" wrapText="1"/>
    </xf>
    <xf numFmtId="0" fontId="10" fillId="0" borderId="3" xfId="46" applyFont="1" applyBorder="1" applyAlignment="1">
      <alignment horizontal="left" vertical="top" wrapText="1"/>
    </xf>
    <xf numFmtId="0" fontId="10" fillId="0" borderId="12" xfId="46" applyFont="1" applyBorder="1" applyAlignment="1">
      <alignment horizontal="left" vertical="top" wrapText="1"/>
    </xf>
    <xf numFmtId="0" fontId="10" fillId="0" borderId="13" xfId="46" applyFont="1" applyBorder="1" applyAlignment="1">
      <alignment horizontal="left" vertical="top" wrapText="1"/>
    </xf>
    <xf numFmtId="0" fontId="10" fillId="0" borderId="14" xfId="46" applyFont="1" applyBorder="1" applyAlignment="1">
      <alignment horizontal="left" vertical="top" wrapText="1"/>
    </xf>
    <xf numFmtId="0" fontId="9" fillId="0" borderId="10" xfId="46" applyFont="1" applyBorder="1" applyAlignment="1">
      <alignment horizontal="left" vertical="top" wrapText="1"/>
    </xf>
    <xf numFmtId="0" fontId="9" fillId="0" borderId="11" xfId="46" applyFont="1" applyBorder="1" applyAlignment="1">
      <alignment horizontal="left" vertical="top" wrapText="1"/>
    </xf>
    <xf numFmtId="0" fontId="9" fillId="0" borderId="2" xfId="46" applyFont="1" applyBorder="1" applyAlignment="1">
      <alignment horizontal="left" vertical="top" wrapText="1"/>
    </xf>
    <xf numFmtId="0" fontId="9" fillId="0" borderId="0" xfId="46" applyFont="1" applyBorder="1" applyAlignment="1">
      <alignment horizontal="left" vertical="top" wrapText="1"/>
    </xf>
    <xf numFmtId="0" fontId="9" fillId="0" borderId="3" xfId="46" applyFont="1" applyBorder="1" applyAlignment="1">
      <alignment horizontal="left" vertical="top" wrapText="1"/>
    </xf>
    <xf numFmtId="0" fontId="9" fillId="0" borderId="12" xfId="46" applyFont="1" applyBorder="1" applyAlignment="1">
      <alignment horizontal="left" vertical="top" wrapText="1"/>
    </xf>
    <xf numFmtId="0" fontId="9" fillId="0" borderId="13" xfId="46" applyFont="1" applyBorder="1" applyAlignment="1">
      <alignment horizontal="left" vertical="top" wrapText="1"/>
    </xf>
    <xf numFmtId="0" fontId="9" fillId="0" borderId="14" xfId="46" applyFont="1" applyBorder="1" applyAlignment="1">
      <alignment horizontal="left" vertical="top" wrapText="1"/>
    </xf>
    <xf numFmtId="0" fontId="2" fillId="0" borderId="1" xfId="46" applyFont="1" applyBorder="1" applyAlignment="1">
      <alignment horizontal="left" vertical="top" wrapText="1"/>
    </xf>
    <xf numFmtId="0" fontId="9" fillId="0" borderId="9" xfId="46" applyFont="1" applyBorder="1" applyAlignment="1">
      <alignment horizontal="center" vertical="center"/>
    </xf>
    <xf numFmtId="0" fontId="9" fillId="0" borderId="10" xfId="46" applyFont="1" applyBorder="1" applyAlignment="1">
      <alignment horizontal="center" vertical="center"/>
    </xf>
    <xf numFmtId="0" fontId="9" fillId="0" borderId="11" xfId="46" applyFont="1" applyBorder="1" applyAlignment="1">
      <alignment horizontal="center" vertical="center"/>
    </xf>
    <xf numFmtId="0" fontId="9" fillId="0" borderId="12" xfId="46" applyFont="1" applyBorder="1" applyAlignment="1">
      <alignment horizontal="center" vertical="center"/>
    </xf>
    <xf numFmtId="0" fontId="9" fillId="0" borderId="13" xfId="46" applyFont="1" applyBorder="1" applyAlignment="1">
      <alignment horizontal="center" vertical="center"/>
    </xf>
    <xf numFmtId="0" fontId="9" fillId="0" borderId="14" xfId="46" applyFont="1" applyBorder="1" applyAlignment="1">
      <alignment horizontal="center" vertical="center"/>
    </xf>
    <xf numFmtId="0" fontId="9" fillId="0" borderId="4" xfId="46" applyFont="1" applyBorder="1" applyAlignment="1">
      <alignment horizontal="center" wrapText="1"/>
    </xf>
    <xf numFmtId="0" fontId="9" fillId="0" borderId="8" xfId="46" applyFont="1" applyBorder="1" applyAlignment="1">
      <alignment horizontal="center" wrapText="1"/>
    </xf>
    <xf numFmtId="0" fontId="9" fillId="0" borderId="1" xfId="46" applyFont="1" applyBorder="1" applyAlignment="1">
      <alignment horizontal="center" vertical="center"/>
    </xf>
    <xf numFmtId="164" fontId="9" fillId="0" borderId="5" xfId="48" applyFont="1" applyBorder="1" applyAlignment="1">
      <alignment horizontal="left"/>
    </xf>
    <xf numFmtId="164" fontId="9" fillId="0" borderId="7" xfId="48" applyFont="1" applyBorder="1" applyAlignment="1">
      <alignment horizontal="left"/>
    </xf>
    <xf numFmtId="1" fontId="9" fillId="0" borderId="5" xfId="48" applyNumberFormat="1" applyFont="1" applyBorder="1" applyAlignment="1">
      <alignment horizontal="center"/>
    </xf>
    <xf numFmtId="1" fontId="9" fillId="0" borderId="7" xfId="48" applyNumberFormat="1" applyFont="1" applyBorder="1" applyAlignment="1">
      <alignment horizontal="center"/>
    </xf>
    <xf numFmtId="164" fontId="9" fillId="0" borderId="5" xfId="48" applyFont="1" applyBorder="1" applyAlignment="1">
      <alignment horizontal="center"/>
    </xf>
    <xf numFmtId="164" fontId="9" fillId="0" borderId="7" xfId="48" applyFont="1" applyBorder="1" applyAlignment="1">
      <alignment horizontal="center"/>
    </xf>
    <xf numFmtId="2" fontId="9" fillId="0" borderId="5" xfId="46" applyNumberFormat="1" applyFont="1" applyBorder="1" applyAlignment="1">
      <alignment horizontal="center"/>
    </xf>
    <xf numFmtId="2" fontId="9" fillId="0" borderId="7" xfId="46" applyNumberFormat="1" applyFont="1" applyBorder="1" applyAlignment="1">
      <alignment horizontal="center"/>
    </xf>
    <xf numFmtId="0" fontId="2" fillId="0" borderId="5" xfId="46" applyFont="1" applyBorder="1" applyAlignment="1">
      <alignment horizontal="left" vertical="top" wrapText="1"/>
    </xf>
    <xf numFmtId="0" fontId="2" fillId="0" borderId="6" xfId="46" applyFont="1" applyBorder="1" applyAlignment="1">
      <alignment horizontal="left" vertical="top" wrapText="1"/>
    </xf>
    <xf numFmtId="0" fontId="2" fillId="0" borderId="7" xfId="46" applyFont="1" applyBorder="1" applyAlignment="1">
      <alignment horizontal="left" vertical="top" wrapText="1"/>
    </xf>
    <xf numFmtId="0" fontId="2" fillId="4" borderId="5" xfId="46" applyFont="1" applyFill="1" applyBorder="1" applyAlignment="1">
      <alignment horizontal="left" vertical="top" wrapText="1"/>
    </xf>
    <xf numFmtId="0" fontId="2" fillId="4" borderId="6" xfId="46" applyFont="1" applyFill="1" applyBorder="1" applyAlignment="1">
      <alignment horizontal="left" vertical="top" wrapText="1"/>
    </xf>
    <xf numFmtId="0" fontId="2" fillId="4" borderId="7" xfId="46" applyFont="1" applyFill="1" applyBorder="1" applyAlignment="1">
      <alignment horizontal="left" vertical="top" wrapText="1"/>
    </xf>
    <xf numFmtId="0" fontId="6" fillId="0" borderId="1" xfId="46" applyFont="1" applyBorder="1" applyAlignment="1">
      <alignment horizontal="center"/>
    </xf>
    <xf numFmtId="165" fontId="9" fillId="0" borderId="5" xfId="46" applyNumberFormat="1" applyFont="1" applyBorder="1" applyAlignment="1"/>
    <xf numFmtId="0" fontId="2" fillId="0" borderId="7" xfId="46" applyBorder="1"/>
    <xf numFmtId="165" fontId="9" fillId="0" borderId="5" xfId="48" applyNumberFormat="1" applyFont="1" applyBorder="1" applyAlignment="1"/>
    <xf numFmtId="0" fontId="58" fillId="0" borderId="1" xfId="46" applyFont="1" applyBorder="1" applyAlignment="1">
      <alignment horizontal="center" vertical="center" wrapText="1"/>
    </xf>
    <xf numFmtId="0" fontId="58" fillId="0" borderId="5" xfId="46" applyFont="1" applyBorder="1" applyAlignment="1">
      <alignment horizontal="center" vertical="center" wrapText="1"/>
    </xf>
    <xf numFmtId="0" fontId="58" fillId="0" borderId="6" xfId="46" applyFont="1" applyBorder="1" applyAlignment="1">
      <alignment horizontal="center" vertical="center" wrapText="1"/>
    </xf>
    <xf numFmtId="0" fontId="58" fillId="0" borderId="10" xfId="46" applyFont="1" applyBorder="1" applyAlignment="1">
      <alignment horizontal="center" vertical="center" wrapText="1"/>
    </xf>
    <xf numFmtId="0" fontId="58" fillId="0" borderId="7" xfId="46" applyFont="1" applyBorder="1" applyAlignment="1">
      <alignment horizontal="center" vertical="center" wrapText="1"/>
    </xf>
    <xf numFmtId="0" fontId="59" fillId="0" borderId="5" xfId="46" applyFont="1" applyBorder="1" applyAlignment="1">
      <alignment horizontal="center" vertical="center" wrapText="1"/>
    </xf>
    <xf numFmtId="0" fontId="59" fillId="0" borderId="6" xfId="46" applyFont="1" applyBorder="1" applyAlignment="1">
      <alignment horizontal="center" vertical="center" wrapText="1"/>
    </xf>
    <xf numFmtId="0" fontId="59" fillId="0" borderId="7" xfId="46" applyFont="1" applyBorder="1" applyAlignment="1">
      <alignment horizontal="center" vertical="center" wrapText="1"/>
    </xf>
    <xf numFmtId="0" fontId="59" fillId="0" borderId="1" xfId="46" applyFont="1" applyBorder="1" applyAlignment="1">
      <alignment horizontal="center" vertical="center" wrapText="1"/>
    </xf>
    <xf numFmtId="0" fontId="8" fillId="3" borderId="6" xfId="2" applyFill="1" applyBorder="1" applyAlignment="1" applyProtection="1">
      <alignment horizontal="left"/>
    </xf>
    <xf numFmtId="0" fontId="59" fillId="0" borderId="1" xfId="46" applyFont="1" applyBorder="1" applyAlignment="1">
      <alignment horizontal="left" vertical="center" wrapText="1"/>
    </xf>
    <xf numFmtId="0" fontId="59" fillId="0" borderId="4" xfId="46" applyFont="1" applyBorder="1" applyAlignment="1">
      <alignment horizontal="center" vertical="center" wrapText="1"/>
    </xf>
    <xf numFmtId="0" fontId="59" fillId="0" borderId="15" xfId="46" applyFont="1" applyBorder="1" applyAlignment="1">
      <alignment horizontal="center" vertical="center" wrapText="1"/>
    </xf>
    <xf numFmtId="0" fontId="59" fillId="0" borderId="8" xfId="46" applyFont="1" applyBorder="1" applyAlignment="1">
      <alignment horizontal="center" vertical="center" wrapText="1"/>
    </xf>
    <xf numFmtId="0" fontId="7" fillId="0" borderId="0" xfId="46" applyFont="1" applyAlignment="1">
      <alignment horizontal="center"/>
    </xf>
    <xf numFmtId="0" fontId="2" fillId="0" borderId="1" xfId="46" applyBorder="1" applyAlignment="1">
      <alignment horizontal="center"/>
    </xf>
    <xf numFmtId="0" fontId="2" fillId="0" borderId="5" xfId="46" applyBorder="1" applyAlignment="1">
      <alignment horizontal="center"/>
    </xf>
    <xf numFmtId="0" fontId="2" fillId="0" borderId="6" xfId="46" applyBorder="1" applyAlignment="1">
      <alignment horizontal="center"/>
    </xf>
    <xf numFmtId="0" fontId="2" fillId="0" borderId="7" xfId="46" applyBorder="1" applyAlignment="1">
      <alignment horizontal="center"/>
    </xf>
    <xf numFmtId="0" fontId="2" fillId="0" borderId="0" xfId="46" applyAlignment="1">
      <alignment horizontal="left" wrapText="1"/>
    </xf>
    <xf numFmtId="0" fontId="42" fillId="0" borderId="9" xfId="46" applyFont="1" applyBorder="1" applyAlignment="1">
      <alignment wrapText="1"/>
    </xf>
    <xf numFmtId="0" fontId="42" fillId="0" borderId="10" xfId="46" applyFont="1" applyBorder="1" applyAlignment="1">
      <alignment wrapText="1"/>
    </xf>
    <xf numFmtId="0" fontId="42" fillId="0" borderId="11" xfId="46" applyFont="1" applyBorder="1" applyAlignment="1">
      <alignment wrapText="1"/>
    </xf>
    <xf numFmtId="0" fontId="42" fillId="0" borderId="2" xfId="46" applyFont="1" applyBorder="1" applyAlignment="1">
      <alignment wrapText="1"/>
    </xf>
    <xf numFmtId="0" fontId="42" fillId="0" borderId="0" xfId="46" applyFont="1" applyBorder="1" applyAlignment="1">
      <alignment wrapText="1"/>
    </xf>
    <xf numFmtId="0" fontId="42" fillId="0" borderId="3" xfId="46" applyFont="1" applyBorder="1" applyAlignment="1">
      <alignment wrapText="1"/>
    </xf>
    <xf numFmtId="0" fontId="42" fillId="0" borderId="12" xfId="46" applyFont="1" applyBorder="1" applyAlignment="1">
      <alignment wrapText="1"/>
    </xf>
    <xf numFmtId="0" fontId="42" fillId="0" borderId="13" xfId="46" applyFont="1" applyBorder="1" applyAlignment="1">
      <alignment wrapText="1"/>
    </xf>
    <xf numFmtId="0" fontId="42" fillId="0" borderId="14" xfId="46" applyFont="1" applyBorder="1" applyAlignment="1">
      <alignment wrapText="1"/>
    </xf>
    <xf numFmtId="0" fontId="2" fillId="0" borderId="0" xfId="46" applyAlignment="1">
      <alignment horizontal="left" vertical="top" wrapText="1"/>
    </xf>
    <xf numFmtId="0" fontId="2" fillId="0" borderId="1" xfId="46" applyBorder="1" applyAlignment="1">
      <alignment horizontal="center" vertical="center"/>
    </xf>
    <xf numFmtId="0" fontId="2" fillId="0" borderId="1" xfId="46" applyBorder="1" applyAlignment="1">
      <alignment horizontal="center" vertical="center" wrapText="1"/>
    </xf>
    <xf numFmtId="0" fontId="7" fillId="2" borderId="0" xfId="46" applyFont="1" applyFill="1" applyAlignment="1">
      <alignment horizontal="center"/>
    </xf>
    <xf numFmtId="0" fontId="2" fillId="2" borderId="1" xfId="46" applyFill="1" applyBorder="1" applyAlignment="1">
      <alignment horizontal="center"/>
    </xf>
    <xf numFmtId="0" fontId="2" fillId="2" borderId="5" xfId="46" applyFill="1" applyBorder="1" applyAlignment="1">
      <alignment horizontal="center"/>
    </xf>
    <xf numFmtId="0" fontId="2" fillId="2" borderId="6" xfId="46" applyFill="1" applyBorder="1" applyAlignment="1">
      <alignment horizontal="center"/>
    </xf>
    <xf numFmtId="0" fontId="2" fillId="2" borderId="7" xfId="46" applyFill="1" applyBorder="1" applyAlignment="1">
      <alignment horizontal="center"/>
    </xf>
    <xf numFmtId="0" fontId="2" fillId="2" borderId="0" xfId="46" applyFill="1" applyAlignment="1">
      <alignment horizontal="left" wrapText="1"/>
    </xf>
    <xf numFmtId="0" fontId="42" fillId="2" borderId="9" xfId="46" applyFont="1" applyFill="1" applyBorder="1" applyAlignment="1">
      <alignment horizontal="left" vertical="top"/>
    </xf>
    <xf numFmtId="0" fontId="13" fillId="2" borderId="10" xfId="46" applyFont="1" applyFill="1" applyBorder="1" applyAlignment="1">
      <alignment horizontal="left" vertical="top"/>
    </xf>
    <xf numFmtId="0" fontId="13" fillId="2" borderId="11" xfId="46" applyFont="1" applyFill="1" applyBorder="1" applyAlignment="1">
      <alignment horizontal="left" vertical="top"/>
    </xf>
    <xf numFmtId="0" fontId="13" fillId="2" borderId="2" xfId="46" applyFont="1" applyFill="1" applyBorder="1" applyAlignment="1">
      <alignment horizontal="left" vertical="top"/>
    </xf>
    <xf numFmtId="0" fontId="13" fillId="2" borderId="0" xfId="46" applyFont="1" applyFill="1" applyBorder="1" applyAlignment="1">
      <alignment horizontal="left" vertical="top"/>
    </xf>
    <xf numFmtId="0" fontId="13" fillId="2" borderId="3" xfId="46" applyFont="1" applyFill="1" applyBorder="1" applyAlignment="1">
      <alignment horizontal="left" vertical="top"/>
    </xf>
    <xf numFmtId="0" fontId="13" fillId="2" borderId="12" xfId="46" applyFont="1" applyFill="1" applyBorder="1" applyAlignment="1">
      <alignment horizontal="left" vertical="top"/>
    </xf>
    <xf numFmtId="0" fontId="13" fillId="2" borderId="13" xfId="46" applyFont="1" applyFill="1" applyBorder="1" applyAlignment="1">
      <alignment horizontal="left" vertical="top"/>
    </xf>
    <xf numFmtId="0" fontId="13" fillId="2" borderId="14" xfId="46" applyFont="1" applyFill="1" applyBorder="1" applyAlignment="1">
      <alignment horizontal="left" vertical="top"/>
    </xf>
    <xf numFmtId="0" fontId="2" fillId="2" borderId="0" xfId="46" applyFill="1" applyAlignment="1">
      <alignment horizontal="left" vertical="top" wrapText="1"/>
    </xf>
    <xf numFmtId="0" fontId="2" fillId="2" borderId="1" xfId="46" applyFill="1" applyBorder="1" applyAlignment="1">
      <alignment horizontal="center" vertical="center"/>
    </xf>
    <xf numFmtId="0" fontId="2" fillId="2" borderId="1" xfId="46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60" fillId="0" borderId="9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0" fillId="0" borderId="12" xfId="0" applyFont="1" applyBorder="1" applyAlignment="1">
      <alignment horizontal="left" vertical="center" wrapText="1"/>
    </xf>
    <xf numFmtId="0" fontId="60" fillId="0" borderId="13" xfId="0" applyFont="1" applyBorder="1" applyAlignment="1">
      <alignment horizontal="left" vertical="center" wrapText="1"/>
    </xf>
    <xf numFmtId="0" fontId="60" fillId="0" borderId="14" xfId="0" applyFont="1" applyBorder="1" applyAlignment="1">
      <alignment horizontal="left" vertical="center" wrapText="1"/>
    </xf>
    <xf numFmtId="0" fontId="60" fillId="0" borderId="1" xfId="0" applyFont="1" applyBorder="1" applyAlignment="1">
      <alignment vertical="top" wrapText="1"/>
    </xf>
    <xf numFmtId="0" fontId="60" fillId="0" borderId="1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62" fillId="0" borderId="2" xfId="0" applyNumberFormat="1" applyFont="1" applyFill="1" applyBorder="1" applyAlignment="1" applyProtection="1">
      <alignment horizontal="center"/>
    </xf>
    <xf numFmtId="0" fontId="62" fillId="0" borderId="3" xfId="0" applyNumberFormat="1" applyFont="1" applyFill="1" applyBorder="1" applyAlignment="1" applyProtection="1">
      <alignment horizontal="center"/>
    </xf>
    <xf numFmtId="0" fontId="62" fillId="0" borderId="3" xfId="0" applyNumberFormat="1" applyFont="1" applyFill="1" applyBorder="1" applyAlignment="1" applyProtection="1">
      <alignment horizontal="left" vertical="center" wrapText="1"/>
    </xf>
    <xf numFmtId="0" fontId="62" fillId="0" borderId="9" xfId="0" applyNumberFormat="1" applyFont="1" applyFill="1" applyBorder="1" applyAlignment="1" applyProtection="1">
      <alignment horizontal="left" vertical="top" wrapText="1"/>
    </xf>
    <xf numFmtId="0" fontId="62" fillId="0" borderId="11" xfId="0" applyNumberFormat="1" applyFont="1" applyFill="1" applyBorder="1" applyAlignment="1" applyProtection="1">
      <alignment horizontal="left" vertical="top" wrapText="1"/>
    </xf>
    <xf numFmtId="0" fontId="62" fillId="0" borderId="12" xfId="0" applyNumberFormat="1" applyFont="1" applyFill="1" applyBorder="1" applyAlignment="1" applyProtection="1">
      <alignment horizontal="left" vertical="top" wrapText="1"/>
    </xf>
    <xf numFmtId="0" fontId="62" fillId="0" borderId="14" xfId="0" applyNumberFormat="1" applyFont="1" applyFill="1" applyBorder="1" applyAlignment="1" applyProtection="1">
      <alignment horizontal="left" vertical="top" wrapText="1"/>
    </xf>
    <xf numFmtId="0" fontId="62" fillId="0" borderId="10" xfId="0" applyNumberFormat="1" applyFont="1" applyFill="1" applyBorder="1" applyAlignment="1" applyProtection="1">
      <alignment horizontal="left" vertical="top" wrapText="1"/>
    </xf>
    <xf numFmtId="0" fontId="62" fillId="0" borderId="13" xfId="0" applyNumberFormat="1" applyFont="1" applyFill="1" applyBorder="1" applyAlignment="1" applyProtection="1">
      <alignment horizontal="left" vertical="top" wrapText="1"/>
    </xf>
    <xf numFmtId="0" fontId="64" fillId="0" borderId="4" xfId="0" applyNumberFormat="1" applyFont="1" applyFill="1" applyBorder="1" applyAlignment="1" applyProtection="1">
      <alignment vertical="top" wrapText="1"/>
    </xf>
    <xf numFmtId="0" fontId="64" fillId="0" borderId="8" xfId="0" applyNumberFormat="1" applyFont="1" applyFill="1" applyBorder="1" applyAlignment="1" applyProtection="1">
      <alignment vertical="top" wrapText="1"/>
    </xf>
    <xf numFmtId="0" fontId="64" fillId="0" borderId="5" xfId="0" applyNumberFormat="1" applyFont="1" applyFill="1" applyBorder="1" applyAlignment="1" applyProtection="1">
      <alignment horizontal="center" vertical="top" wrapText="1"/>
    </xf>
    <xf numFmtId="0" fontId="64" fillId="0" borderId="6" xfId="0" applyNumberFormat="1" applyFont="1" applyFill="1" applyBorder="1" applyAlignment="1" applyProtection="1">
      <alignment horizontal="center" vertical="top" wrapText="1"/>
    </xf>
    <xf numFmtId="0" fontId="64" fillId="0" borderId="7" xfId="0" applyNumberFormat="1" applyFont="1" applyFill="1" applyBorder="1" applyAlignment="1" applyProtection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0" fillId="0" borderId="2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8" fillId="5" borderId="2" xfId="0" applyFont="1" applyFill="1" applyBorder="1" applyAlignment="1">
      <alignment horizontal="center"/>
    </xf>
    <xf numFmtId="0" fontId="28" fillId="5" borderId="3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66" fontId="19" fillId="0" borderId="5" xfId="0" applyNumberFormat="1" applyFont="1" applyBorder="1" applyAlignment="1"/>
    <xf numFmtId="166" fontId="19" fillId="0" borderId="7" xfId="0" applyNumberFormat="1" applyFont="1" applyBorder="1" applyAlignment="1"/>
    <xf numFmtId="166" fontId="19" fillId="0" borderId="5" xfId="0" applyNumberFormat="1" applyFont="1" applyBorder="1" applyAlignment="1">
      <alignment horizontal="center"/>
    </xf>
    <xf numFmtId="166" fontId="19" fillId="0" borderId="7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 wrapText="1"/>
    </xf>
    <xf numFmtId="0" fontId="21" fillId="0" borderId="7" xfId="0" applyFont="1" applyBorder="1" applyAlignment="1">
      <alignment horizontal="left" wrapText="1"/>
    </xf>
    <xf numFmtId="0" fontId="21" fillId="0" borderId="5" xfId="0" applyFont="1" applyBorder="1" applyAlignment="1">
      <alignment horizontal="right"/>
    </xf>
    <xf numFmtId="0" fontId="21" fillId="0" borderId="7" xfId="0" applyFont="1" applyBorder="1" applyAlignment="1">
      <alignment horizontal="right"/>
    </xf>
    <xf numFmtId="166" fontId="21" fillId="0" borderId="5" xfId="0" applyNumberFormat="1" applyFont="1" applyBorder="1" applyAlignment="1"/>
    <xf numFmtId="166" fontId="21" fillId="0" borderId="7" xfId="0" applyNumberFormat="1" applyFont="1" applyBorder="1" applyAlignment="1"/>
    <xf numFmtId="166" fontId="21" fillId="0" borderId="5" xfId="0" applyNumberFormat="1" applyFont="1" applyBorder="1" applyAlignment="1">
      <alignment horizontal="center"/>
    </xf>
    <xf numFmtId="166" fontId="21" fillId="0" borderId="7" xfId="0" applyNumberFormat="1" applyFont="1" applyBorder="1" applyAlignment="1">
      <alignment horizontal="center"/>
    </xf>
    <xf numFmtId="166" fontId="19" fillId="0" borderId="5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0" fontId="21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right"/>
    </xf>
    <xf numFmtId="166" fontId="21" fillId="0" borderId="9" xfId="0" applyNumberFormat="1" applyFont="1" applyBorder="1" applyAlignment="1"/>
    <xf numFmtId="166" fontId="21" fillId="0" borderId="11" xfId="0" applyNumberFormat="1" applyFont="1" applyBorder="1" applyAlignment="1"/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right"/>
    </xf>
    <xf numFmtId="0" fontId="31" fillId="0" borderId="5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5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32" fillId="0" borderId="9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51" applyFont="1" applyBorder="1" applyAlignment="1">
      <alignment horizontal="center" vertical="center" wrapText="1"/>
    </xf>
    <xf numFmtId="0" fontId="66" fillId="0" borderId="13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65" fillId="0" borderId="4" xfId="51" applyFont="1" applyBorder="1" applyAlignment="1">
      <alignment horizontal="center" vertical="center" wrapText="1"/>
    </xf>
    <xf numFmtId="0" fontId="65" fillId="0" borderId="8" xfId="51" applyFont="1" applyBorder="1" applyAlignment="1">
      <alignment horizontal="center" vertical="center" wrapText="1"/>
    </xf>
    <xf numFmtId="0" fontId="66" fillId="0" borderId="0" xfId="51" applyFont="1" applyAlignment="1">
      <alignment horizontal="center" vertical="center" wrapText="1"/>
    </xf>
    <xf numFmtId="0" fontId="66" fillId="0" borderId="1" xfId="51" applyFont="1" applyBorder="1" applyAlignment="1">
      <alignment horizontal="center" vertical="center" wrapText="1"/>
    </xf>
    <xf numFmtId="0" fontId="40" fillId="0" borderId="0" xfId="51" applyAlignment="1">
      <alignment horizontal="center" vertical="center" wrapText="1"/>
    </xf>
    <xf numFmtId="0" fontId="40" fillId="0" borderId="3" xfId="5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67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79" fillId="0" borderId="0" xfId="0" applyFont="1" applyAlignment="1">
      <alignment horizontal="center"/>
    </xf>
    <xf numFmtId="0" fontId="82" fillId="0" borderId="20" xfId="0" applyFont="1" applyBorder="1" applyAlignment="1">
      <alignment horizontal="left" vertical="center" wrapText="1"/>
    </xf>
    <xf numFmtId="0" fontId="82" fillId="0" borderId="21" xfId="0" applyFont="1" applyBorder="1" applyAlignment="1">
      <alignment horizontal="left" vertical="center" wrapText="1"/>
    </xf>
    <xf numFmtId="0" fontId="82" fillId="0" borderId="16" xfId="0" applyFont="1" applyBorder="1" applyAlignment="1">
      <alignment horizontal="left" vertical="center" wrapText="1"/>
    </xf>
    <xf numFmtId="0" fontId="81" fillId="0" borderId="22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1" fillId="0" borderId="0" xfId="0" applyFont="1" applyAlignment="1">
      <alignment horizontal="left" vertical="center"/>
    </xf>
    <xf numFmtId="0" fontId="81" fillId="0" borderId="23" xfId="0" applyFont="1" applyBorder="1" applyAlignment="1">
      <alignment horizontal="left" vertical="center"/>
    </xf>
    <xf numFmtId="0" fontId="81" fillId="0" borderId="23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/>
    </xf>
    <xf numFmtId="0" fontId="82" fillId="0" borderId="20" xfId="0" applyFont="1" applyBorder="1" applyAlignment="1">
      <alignment horizontal="left" vertical="center"/>
    </xf>
    <xf numFmtId="0" fontId="82" fillId="0" borderId="21" xfId="0" applyFont="1" applyBorder="1" applyAlignment="1">
      <alignment horizontal="left" vertical="center"/>
    </xf>
    <xf numFmtId="0" fontId="82" fillId="0" borderId="16" xfId="0" applyFont="1" applyBorder="1" applyAlignment="1">
      <alignment horizontal="left" vertical="center"/>
    </xf>
    <xf numFmtId="0" fontId="81" fillId="0" borderId="0" xfId="0" applyFont="1" applyAlignment="1">
      <alignment horizontal="left" vertical="top" wrapText="1"/>
    </xf>
    <xf numFmtId="0" fontId="83" fillId="0" borderId="20" xfId="0" applyFont="1" applyBorder="1" applyAlignment="1">
      <alignment horizontal="left" vertical="top" wrapText="1"/>
    </xf>
    <xf numFmtId="0" fontId="83" fillId="0" borderId="21" xfId="0" applyFont="1" applyBorder="1" applyAlignment="1">
      <alignment horizontal="left" vertical="top" wrapText="1"/>
    </xf>
    <xf numFmtId="0" fontId="83" fillId="0" borderId="16" xfId="0" applyFont="1" applyBorder="1" applyAlignment="1">
      <alignment horizontal="left" vertical="top" wrapText="1"/>
    </xf>
    <xf numFmtId="0" fontId="81" fillId="0" borderId="1" xfId="0" applyFont="1" applyBorder="1" applyAlignment="1">
      <alignment horizontal="center" vertical="center" wrapText="1"/>
    </xf>
    <xf numFmtId="0" fontId="71" fillId="0" borderId="0" xfId="51" applyFont="1" applyAlignment="1">
      <alignment horizontal="center" vertical="center" wrapText="1"/>
    </xf>
    <xf numFmtId="0" fontId="72" fillId="0" borderId="1" xfId="51" applyFont="1" applyBorder="1" applyAlignment="1">
      <alignment horizontal="center"/>
    </xf>
    <xf numFmtId="0" fontId="72" fillId="0" borderId="5" xfId="51" applyFont="1" applyBorder="1" applyAlignment="1">
      <alignment horizontal="center" wrapText="1"/>
    </xf>
    <xf numFmtId="0" fontId="72" fillId="0" borderId="6" xfId="51" applyFont="1" applyBorder="1" applyAlignment="1">
      <alignment horizontal="center" wrapText="1"/>
    </xf>
    <xf numFmtId="0" fontId="72" fillId="0" borderId="7" xfId="51" applyFont="1" applyBorder="1" applyAlignment="1">
      <alignment horizontal="center" wrapText="1"/>
    </xf>
    <xf numFmtId="0" fontId="76" fillId="0" borderId="5" xfId="51" applyFont="1" applyBorder="1" applyAlignment="1">
      <alignment horizontal="center" vertical="center" wrapText="1"/>
    </xf>
    <xf numFmtId="0" fontId="76" fillId="0" borderId="6" xfId="51" applyFont="1" applyBorder="1" applyAlignment="1">
      <alignment horizontal="center" vertical="center" wrapText="1"/>
    </xf>
    <xf numFmtId="0" fontId="76" fillId="0" borderId="7" xfId="51" applyFont="1" applyBorder="1" applyAlignment="1">
      <alignment horizontal="center" vertical="center" wrapText="1"/>
    </xf>
    <xf numFmtId="0" fontId="72" fillId="0" borderId="0" xfId="51" applyFont="1" applyAlignment="1">
      <alignment horizontal="left" vertical="center" wrapText="1"/>
    </xf>
    <xf numFmtId="0" fontId="73" fillId="0" borderId="9" xfId="51" applyFont="1" applyBorder="1" applyAlignment="1">
      <alignment horizontal="left" vertical="top" wrapText="1"/>
    </xf>
    <xf numFmtId="0" fontId="73" fillId="0" borderId="10" xfId="51" applyFont="1" applyBorder="1" applyAlignment="1">
      <alignment horizontal="left" vertical="top" wrapText="1"/>
    </xf>
    <xf numFmtId="0" fontId="73" fillId="0" borderId="11" xfId="51" applyFont="1" applyBorder="1" applyAlignment="1">
      <alignment horizontal="left" vertical="top" wrapText="1"/>
    </xf>
    <xf numFmtId="0" fontId="73" fillId="0" borderId="12" xfId="51" applyFont="1" applyBorder="1" applyAlignment="1">
      <alignment horizontal="left" vertical="top" wrapText="1"/>
    </xf>
    <xf numFmtId="0" fontId="73" fillId="0" borderId="13" xfId="51" applyFont="1" applyBorder="1" applyAlignment="1">
      <alignment horizontal="left" vertical="top" wrapText="1"/>
    </xf>
    <xf numFmtId="0" fontId="73" fillId="0" borderId="14" xfId="51" applyFont="1" applyBorder="1" applyAlignment="1">
      <alignment horizontal="left" vertical="top" wrapText="1"/>
    </xf>
    <xf numFmtId="0" fontId="72" fillId="0" borderId="2" xfId="51" applyFont="1" applyBorder="1" applyAlignment="1">
      <alignment horizontal="left" vertical="center" wrapText="1"/>
    </xf>
    <xf numFmtId="0" fontId="72" fillId="0" borderId="5" xfId="51" applyFont="1" applyBorder="1" applyAlignment="1">
      <alignment horizontal="center" vertical="center" wrapText="1"/>
    </xf>
    <xf numFmtId="0" fontId="72" fillId="0" borderId="7" xfId="51" applyFont="1" applyBorder="1" applyAlignment="1">
      <alignment horizontal="center" vertical="center" wrapText="1"/>
    </xf>
    <xf numFmtId="0" fontId="76" fillId="0" borderId="4" xfId="51" applyFont="1" applyBorder="1" applyAlignment="1">
      <alignment horizontal="left" vertical="center" wrapText="1"/>
    </xf>
    <xf numFmtId="0" fontId="76" fillId="0" borderId="8" xfId="51" applyFont="1" applyBorder="1" applyAlignment="1">
      <alignment horizontal="left" vertical="center" wrapText="1"/>
    </xf>
    <xf numFmtId="0" fontId="71" fillId="0" borderId="0" xfId="0" applyFont="1" applyAlignment="1">
      <alignment horizontal="center" vertical="center" wrapText="1"/>
    </xf>
    <xf numFmtId="0" fontId="72" fillId="0" borderId="1" xfId="0" applyFont="1" applyBorder="1" applyAlignment="1">
      <alignment horizontal="center"/>
    </xf>
    <xf numFmtId="0" fontId="72" fillId="0" borderId="5" xfId="0" applyFont="1" applyBorder="1" applyAlignment="1">
      <alignment horizontal="center" wrapText="1"/>
    </xf>
    <xf numFmtId="0" fontId="72" fillId="0" borderId="6" xfId="0" applyFont="1" applyBorder="1" applyAlignment="1">
      <alignment horizontal="center" wrapText="1"/>
    </xf>
    <xf numFmtId="0" fontId="72" fillId="0" borderId="7" xfId="0" applyFont="1" applyBorder="1" applyAlignment="1">
      <alignment horizontal="center" wrapText="1"/>
    </xf>
    <xf numFmtId="0" fontId="76" fillId="0" borderId="5" xfId="0" applyFont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 wrapText="1"/>
    </xf>
    <xf numFmtId="0" fontId="72" fillId="0" borderId="0" xfId="0" applyFont="1" applyAlignment="1">
      <alignment horizontal="left" vertical="center" wrapText="1"/>
    </xf>
    <xf numFmtId="0" fontId="73" fillId="0" borderId="9" xfId="0" applyFont="1" applyBorder="1" applyAlignment="1">
      <alignment horizontal="left" vertical="top" wrapText="1"/>
    </xf>
    <xf numFmtId="0" fontId="73" fillId="0" borderId="10" xfId="0" applyFont="1" applyBorder="1" applyAlignment="1">
      <alignment horizontal="left" vertical="top" wrapText="1"/>
    </xf>
    <xf numFmtId="0" fontId="73" fillId="0" borderId="11" xfId="0" applyFont="1" applyBorder="1" applyAlignment="1">
      <alignment horizontal="left" vertical="top" wrapText="1"/>
    </xf>
    <xf numFmtId="0" fontId="73" fillId="0" borderId="12" xfId="0" applyFont="1" applyBorder="1" applyAlignment="1">
      <alignment horizontal="left" vertical="top" wrapText="1"/>
    </xf>
    <xf numFmtId="0" fontId="73" fillId="0" borderId="13" xfId="0" applyFont="1" applyBorder="1" applyAlignment="1">
      <alignment horizontal="left" vertical="top" wrapText="1"/>
    </xf>
    <xf numFmtId="0" fontId="73" fillId="0" borderId="14" xfId="0" applyFont="1" applyBorder="1" applyAlignment="1">
      <alignment horizontal="left" vertical="top" wrapText="1"/>
    </xf>
    <xf numFmtId="0" fontId="72" fillId="0" borderId="2" xfId="0" applyFont="1" applyBorder="1" applyAlignment="1">
      <alignment horizontal="left" vertical="center" wrapText="1"/>
    </xf>
    <xf numFmtId="0" fontId="76" fillId="0" borderId="4" xfId="0" applyFont="1" applyBorder="1" applyAlignment="1">
      <alignment horizontal="left" vertical="center" wrapText="1"/>
    </xf>
    <xf numFmtId="0" fontId="76" fillId="0" borderId="8" xfId="0" applyFont="1" applyBorder="1" applyAlignment="1">
      <alignment horizontal="left" vertical="center" wrapText="1"/>
    </xf>
    <xf numFmtId="0" fontId="1" fillId="6" borderId="1" xfId="46" applyFont="1" applyFill="1" applyBorder="1" applyAlignment="1">
      <alignment horizontal="center" vertical="center" wrapText="1"/>
    </xf>
    <xf numFmtId="0" fontId="55" fillId="0" borderId="4" xfId="46" applyFont="1" applyBorder="1" applyAlignment="1">
      <alignment horizontal="center" vertical="center"/>
    </xf>
    <xf numFmtId="0" fontId="2" fillId="0" borderId="4" xfId="46" applyBorder="1" applyAlignment="1">
      <alignment wrapText="1"/>
    </xf>
    <xf numFmtId="0" fontId="2" fillId="6" borderId="1" xfId="46" applyFill="1" applyBorder="1" applyAlignment="1">
      <alignment horizontal="left"/>
    </xf>
    <xf numFmtId="0" fontId="2" fillId="0" borderId="4" xfId="46" applyBorder="1" applyAlignment="1">
      <alignment horizontal="center"/>
    </xf>
    <xf numFmtId="0" fontId="2" fillId="0" borderId="15" xfId="46" applyBorder="1" applyAlignment="1">
      <alignment horizontal="center"/>
    </xf>
    <xf numFmtId="0" fontId="2" fillId="0" borderId="2" xfId="46" applyBorder="1" applyAlignment="1">
      <alignment horizontal="center"/>
    </xf>
    <xf numFmtId="0" fontId="1" fillId="6" borderId="4" xfId="46" applyFont="1" applyFill="1" applyBorder="1" applyAlignment="1">
      <alignment horizontal="left" vertical="center"/>
    </xf>
    <xf numFmtId="0" fontId="1" fillId="6" borderId="8" xfId="46" applyFont="1" applyFill="1" applyBorder="1" applyAlignment="1">
      <alignment horizontal="left" vertical="center"/>
    </xf>
    <xf numFmtId="0" fontId="1" fillId="6" borderId="4" xfId="46" applyFont="1" applyFill="1" applyBorder="1" applyAlignment="1">
      <alignment horizontal="center" vertical="center" wrapText="1"/>
    </xf>
    <xf numFmtId="0" fontId="1" fillId="6" borderId="8" xfId="46" applyFont="1" applyFill="1" applyBorder="1" applyAlignment="1">
      <alignment horizontal="center" vertical="center" wrapText="1"/>
    </xf>
    <xf numFmtId="0" fontId="2" fillId="0" borderId="15" xfId="46" applyBorder="1" applyAlignment="1">
      <alignment horizontal="left"/>
    </xf>
    <xf numFmtId="0" fontId="48" fillId="0" borderId="0" xfId="46" applyFont="1" applyAlignment="1">
      <alignment horizontal="center"/>
    </xf>
    <xf numFmtId="0" fontId="2" fillId="6" borderId="1" xfId="46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4" fillId="6" borderId="15" xfId="0" applyFont="1" applyFill="1" applyBorder="1" applyAlignment="1">
      <alignment horizontal="center"/>
    </xf>
    <xf numFmtId="0" fontId="24" fillId="6" borderId="8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 wrapText="1"/>
    </xf>
    <xf numFmtId="0" fontId="14" fillId="6" borderId="8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8" fillId="3" borderId="0" xfId="2" applyFill="1" applyBorder="1" applyAlignment="1" applyProtection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6" borderId="1" xfId="0" applyFill="1" applyBorder="1" applyAlignment="1"/>
    <xf numFmtId="0" fontId="28" fillId="6" borderId="5" xfId="0" applyFont="1" applyFill="1" applyBorder="1" applyAlignment="1">
      <alignment horizontal="center"/>
    </xf>
    <xf numFmtId="0" fontId="28" fillId="6" borderId="7" xfId="0" applyFont="1" applyFill="1" applyBorder="1" applyAlignment="1">
      <alignment horizontal="center"/>
    </xf>
    <xf numFmtId="0" fontId="86" fillId="6" borderId="4" xfId="0" applyFont="1" applyFill="1" applyBorder="1" applyAlignment="1">
      <alignment vertical="center"/>
    </xf>
    <xf numFmtId="0" fontId="86" fillId="6" borderId="8" xfId="0" applyFont="1" applyFill="1" applyBorder="1" applyAlignment="1">
      <alignment vertical="center"/>
    </xf>
    <xf numFmtId="0" fontId="86" fillId="6" borderId="4" xfId="0" applyFont="1" applyFill="1" applyBorder="1" applyAlignment="1">
      <alignment horizontal="center" vertical="center" wrapText="1"/>
    </xf>
    <xf numFmtId="0" fontId="86" fillId="6" borderId="8" xfId="0" applyFont="1" applyFill="1" applyBorder="1" applyAlignment="1">
      <alignment horizontal="center" vertical="center" wrapText="1"/>
    </xf>
    <xf numFmtId="0" fontId="86" fillId="6" borderId="5" xfId="0" applyFont="1" applyFill="1" applyBorder="1" applyAlignment="1">
      <alignment horizontal="center" vertical="center"/>
    </xf>
    <xf numFmtId="0" fontId="86" fillId="6" borderId="6" xfId="0" applyFont="1" applyFill="1" applyBorder="1" applyAlignment="1">
      <alignment horizontal="center" vertical="center"/>
    </xf>
    <xf numFmtId="0" fontId="86" fillId="6" borderId="7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/>
    <xf numFmtId="0" fontId="0" fillId="6" borderId="1" xfId="0" applyFill="1" applyBorder="1" applyAlignment="1">
      <alignment wrapText="1"/>
    </xf>
    <xf numFmtId="0" fontId="29" fillId="6" borderId="2" xfId="0" applyFont="1" applyFill="1" applyBorder="1" applyAlignment="1">
      <alignment horizontal="left" vertical="center"/>
    </xf>
    <xf numFmtId="0" fontId="29" fillId="6" borderId="0" xfId="0" applyFont="1" applyFill="1" applyAlignment="1">
      <alignment horizontal="left" vertical="center"/>
    </xf>
    <xf numFmtId="0" fontId="3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6" borderId="3" xfId="0" applyFont="1" applyFill="1" applyBorder="1" applyAlignment="1">
      <alignment horizontal="left" vertical="center"/>
    </xf>
    <xf numFmtId="0" fontId="29" fillId="0" borderId="5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/>
    </xf>
    <xf numFmtId="0" fontId="29" fillId="0" borderId="7" xfId="0" applyFont="1" applyBorder="1" applyAlignment="1">
      <alignment horizontal="left" vertical="top"/>
    </xf>
    <xf numFmtId="0" fontId="29" fillId="6" borderId="4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ill="1" applyAlignment="1">
      <alignment vertical="top"/>
    </xf>
  </cellXfs>
  <cellStyles count="58">
    <cellStyle name="Comma 10" xfId="11"/>
    <cellStyle name="Comma 11" xfId="12"/>
    <cellStyle name="Comma 12" xfId="13"/>
    <cellStyle name="Comma 13" xfId="16"/>
    <cellStyle name="Comma 14" xfId="17"/>
    <cellStyle name="Comma 15" xfId="18"/>
    <cellStyle name="Comma 16" xfId="19"/>
    <cellStyle name="Comma 17" xfId="20"/>
    <cellStyle name="Comma 18" xfId="21"/>
    <cellStyle name="Comma 19" xfId="22"/>
    <cellStyle name="Comma 2" xfId="3"/>
    <cellStyle name="Comma 2 2" xfId="14"/>
    <cellStyle name="Comma 2 3" xfId="48"/>
    <cellStyle name="Comma 2 4" xfId="49"/>
    <cellStyle name="Comma 2 5" xfId="50"/>
    <cellStyle name="Comma 20" xfId="23"/>
    <cellStyle name="Comma 21" xfId="24"/>
    <cellStyle name="Comma 22" xfId="25"/>
    <cellStyle name="Comma 23" xfId="26"/>
    <cellStyle name="Comma 24" xfId="27"/>
    <cellStyle name="Comma 25" xfId="28"/>
    <cellStyle name="Comma 26" xfId="29"/>
    <cellStyle name="Comma 27" xfId="30"/>
    <cellStyle name="Comma 28" xfId="31"/>
    <cellStyle name="Comma 29" xfId="32"/>
    <cellStyle name="Comma 3" xfId="4"/>
    <cellStyle name="Comma 30" xfId="33"/>
    <cellStyle name="Comma 31" xfId="34"/>
    <cellStyle name="Comma 32" xfId="35"/>
    <cellStyle name="Comma 33" xfId="36"/>
    <cellStyle name="Comma 34" xfId="37"/>
    <cellStyle name="Comma 35" xfId="38"/>
    <cellStyle name="Comma 36" xfId="39"/>
    <cellStyle name="Comma 37" xfId="40"/>
    <cellStyle name="Comma 38" xfId="41"/>
    <cellStyle name="Comma 39" xfId="42"/>
    <cellStyle name="Comma 4" xfId="5"/>
    <cellStyle name="Comma 40" xfId="43"/>
    <cellStyle name="Comma 41" xfId="44"/>
    <cellStyle name="Comma 42" xfId="45"/>
    <cellStyle name="Comma 43" xfId="47"/>
    <cellStyle name="Comma 44" xfId="54"/>
    <cellStyle name="Comma 45" xfId="56"/>
    <cellStyle name="Comma 46" xfId="57"/>
    <cellStyle name="Comma 5" xfId="6"/>
    <cellStyle name="Comma 6" xfId="7"/>
    <cellStyle name="Comma 7" xfId="8"/>
    <cellStyle name="Comma 8" xfId="9"/>
    <cellStyle name="Comma 9" xfId="10"/>
    <cellStyle name="Hyperlink" xfId="2" builtinId="8"/>
    <cellStyle name="Input" xfId="52" builtinId="20"/>
    <cellStyle name="Normal" xfId="0" builtinId="0"/>
    <cellStyle name="Normal 2" xfId="1"/>
    <cellStyle name="Normal 3" xfId="46"/>
    <cellStyle name="Normal 4" xfId="51"/>
    <cellStyle name="Percent" xfId="55" builtinId="5"/>
    <cellStyle name="Percent 2" xfId="15"/>
    <cellStyle name="Percent 3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990600</xdr:colOff>
      <xdr:row>7</xdr:row>
      <xdr:rowOff>0</xdr:rowOff>
    </xdr:from>
    <xdr:to>
      <xdr:col>7</xdr:col>
      <xdr:colOff>0</xdr:colOff>
      <xdr:row>7</xdr:row>
      <xdr:rowOff>1588</xdr:rowOff>
    </xdr:to>
    <xdr:cxnSp macro="">
      <xdr:nvCxnSpPr>
        <xdr:cNvPr id="2" name="Straight Connector 1"/>
        <xdr:cNvCxnSpPr/>
      </xdr:nvCxnSpPr>
      <xdr:spPr>
        <a:xfrm>
          <a:off x="7972425" y="2000250"/>
          <a:ext cx="476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590550</xdr:colOff>
      <xdr:row>7</xdr:row>
      <xdr:rowOff>0</xdr:rowOff>
    </xdr:from>
    <xdr:to>
      <xdr:col>2</xdr:col>
      <xdr:colOff>361950</xdr:colOff>
      <xdr:row>7</xdr:row>
      <xdr:rowOff>1588</xdr:rowOff>
    </xdr:to>
    <xdr:cxnSp macro="">
      <xdr:nvCxnSpPr>
        <xdr:cNvPr id="3" name="Straight Connector 2"/>
        <xdr:cNvCxnSpPr/>
      </xdr:nvCxnSpPr>
      <xdr:spPr>
        <a:xfrm>
          <a:off x="3200400" y="2000250"/>
          <a:ext cx="5238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21</xdr:row>
      <xdr:rowOff>0</xdr:rowOff>
    </xdr:from>
    <xdr:to>
      <xdr:col>2</xdr:col>
      <xdr:colOff>533400</xdr:colOff>
      <xdr:row>21</xdr:row>
      <xdr:rowOff>1588</xdr:rowOff>
    </xdr:to>
    <xdr:cxnSp macro="">
      <xdr:nvCxnSpPr>
        <xdr:cNvPr id="4" name="Straight Connector 3"/>
        <xdr:cNvCxnSpPr/>
      </xdr:nvCxnSpPr>
      <xdr:spPr>
        <a:xfrm>
          <a:off x="3581400" y="6496050"/>
          <a:ext cx="314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21</xdr:row>
      <xdr:rowOff>0</xdr:rowOff>
    </xdr:from>
    <xdr:to>
      <xdr:col>1</xdr:col>
      <xdr:colOff>523875</xdr:colOff>
      <xdr:row>21</xdr:row>
      <xdr:rowOff>1588</xdr:rowOff>
    </xdr:to>
    <xdr:cxnSp macro="">
      <xdr:nvCxnSpPr>
        <xdr:cNvPr id="5" name="Straight Connector 4"/>
        <xdr:cNvCxnSpPr/>
      </xdr:nvCxnSpPr>
      <xdr:spPr>
        <a:xfrm>
          <a:off x="2819400" y="6496050"/>
          <a:ext cx="314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21</xdr:row>
      <xdr:rowOff>0</xdr:rowOff>
    </xdr:from>
    <xdr:to>
      <xdr:col>13</xdr:col>
      <xdr:colOff>409575</xdr:colOff>
      <xdr:row>21</xdr:row>
      <xdr:rowOff>1588</xdr:rowOff>
    </xdr:to>
    <xdr:cxnSp macro="">
      <xdr:nvCxnSpPr>
        <xdr:cNvPr id="6" name="Straight Connector 5"/>
        <xdr:cNvCxnSpPr/>
      </xdr:nvCxnSpPr>
      <xdr:spPr>
        <a:xfrm>
          <a:off x="12487275" y="6496050"/>
          <a:ext cx="314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21</xdr:row>
      <xdr:rowOff>0</xdr:rowOff>
    </xdr:from>
    <xdr:to>
      <xdr:col>11</xdr:col>
      <xdr:colOff>533400</xdr:colOff>
      <xdr:row>21</xdr:row>
      <xdr:rowOff>1588</xdr:rowOff>
    </xdr:to>
    <xdr:cxnSp macro="">
      <xdr:nvCxnSpPr>
        <xdr:cNvPr id="7" name="Straight Connector 6"/>
        <xdr:cNvCxnSpPr/>
      </xdr:nvCxnSpPr>
      <xdr:spPr>
        <a:xfrm>
          <a:off x="11382375" y="6496050"/>
          <a:ext cx="314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kanta/Desktop/1VDC%20and%20FNGO%20Fact%20Sheet/FACT%20SHEET%20OF%20VDC%20&amp;%20FN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h.%20Rampur/FNGO%20FACT%20SHEET/GV%20Ph-I%20Th.%20Ram%20Fact%20Shee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rrected%20VDC%20&amp;%20FNGO%20Fact%20Sheet%2016.07.11/Koraput/Fact%20Sheet%20MWS%20&amp;%20FNGO%20Pottang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rrected%20VDC%20&amp;%20FNGO%20Fact%20Sheet%2016.07.11/Koraput/Fact%20Sheet%20MWS%20and%20FNGO%20Semiligu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rrected%20VDC%20&amp;%20FNGO%20Fact%20Sheet%2016.07.11/Gajapati%20vcd%20COMPLETED%20FNGO%20TO%20BE%20COMPLETE/CCD-PKD-final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ct%20sheet%2008.05.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kanta/Desktop/21.07.2011/Documents%20and%20Settings/Administrator/My%20Documents/Downloads/Compressed/Malkanagiri/Parivartt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Compressed/Gunupur/02-MWS_Factsheet-BISWA-Gunupu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ct Sheet of VDC"/>
      <sheetName val="Mataji"/>
      <sheetName val="Kanbura"/>
      <sheetName val="Maa Thakurani"/>
      <sheetName val="Sikilimali"/>
      <sheetName val="Tribeni"/>
      <sheetName val="Maa Gayatri"/>
      <sheetName val="Khandual"/>
      <sheetName val="Laxmi"/>
      <sheetName val="Maa Adimata"/>
      <sheetName val="Nagabali"/>
      <sheetName val="Dharitri"/>
      <sheetName val="Subhasree"/>
      <sheetName val="Th. Rampur G.V"/>
      <sheetName val="Pindapadar"/>
      <sheetName val="Amjhola "/>
      <sheetName val="Nakrundi"/>
      <sheetName val="Taramundi "/>
      <sheetName val="Kirkicha "/>
      <sheetName val="T. Bhejiguda"/>
      <sheetName val="Melrafa"/>
      <sheetName val="Sikerguda "/>
      <sheetName val="Kandulguda"/>
      <sheetName val="Maltipadar"/>
      <sheetName val="Melghara "/>
      <sheetName val="Th.Rampur Antodaya"/>
      <sheetName val="Chacha"/>
      <sheetName val="Ushabahali"/>
      <sheetName val="Malijubang"/>
      <sheetName val="Madanguda"/>
      <sheetName val="punjam"/>
      <sheetName val="jira"/>
      <sheetName val="Panpadar"/>
      <sheetName val="Bater"/>
      <sheetName val="Salpadar"/>
      <sheetName val="Bada"/>
      <sheetName val="Dnariguda"/>
      <sheetName val="Kalakupa"/>
      <sheetName val="Bank"/>
      <sheetName val="Lanjigarh GVT"/>
      <sheetName val="DEVAGIRI"/>
      <sheetName val="PISION"/>
      <sheetName val="HEMAYANA"/>
      <sheetName val="ALEMBA"/>
      <sheetName val="GAMMA"/>
      <sheetName val="Emani"/>
      <sheetName val="SION"/>
      <sheetName val="SHANTI"/>
      <sheetName val="BALINGDA"/>
      <sheetName val="NILLA"/>
      <sheetName val="Jambanal"/>
      <sheetName val="Baghanal"/>
      <sheetName val="Mahendratanaya"/>
      <sheetName val="Darubramha"/>
      <sheetName val="Badapathara"/>
      <sheetName val="Ajayagadadhar"/>
      <sheetName val="Debagiri"/>
      <sheetName val="Gandakhal"/>
      <sheetName val="Satabhauni"/>
      <sheetName val="Duarasunki"/>
      <sheetName val="Mutukua Form-A"/>
      <sheetName val="Nidhigudi Form-A"/>
      <sheetName val="Dahiamba Form- A"/>
      <sheetName val="Bapedi Form-A"/>
      <sheetName val="Tandrang-Form-A"/>
      <sheetName val="Puspang Form A"/>
      <sheetName val="Dhenkabandha Form-A"/>
      <sheetName val="BhamaranaLA Form-A"/>
      <sheetName val="Badanala Form-A"/>
      <sheetName val="Dalimbapur Form A"/>
      <sheetName val="Souri"/>
      <sheetName val="Palapur"/>
      <sheetName val="Ketung Pada"/>
      <sheetName val="Badadev"/>
      <sheetName val="Konkarada"/>
      <sheetName val="Attarsing"/>
      <sheetName val="Tuman"/>
      <sheetName val="Luther"/>
      <sheetName val="Saralapadar"/>
      <sheetName val="Rubudising"/>
      <sheetName val="Kalibudha"/>
      <sheetName val="Maa Bhagabati"/>
      <sheetName val="Siba Shakti"/>
      <sheetName val="Jaya Hanuman"/>
      <sheetName val="Jana Chetana"/>
      <sheetName val="Dimbuli"/>
      <sheetName val="Raniadu"/>
      <sheetName val="Utei Tanaya"/>
      <sheetName val="Maa Manikeswari"/>
      <sheetName val="Sapengada"/>
      <sheetName val="Maa Tulasi"/>
      <sheetName val="Maa Tarini"/>
      <sheetName val="Sitiguda"/>
      <sheetName val="Dharanimata"/>
      <sheetName val="Maa Subasini"/>
      <sheetName val="Krusibikash"/>
      <sheetName val="Maa Manikeswari (2)"/>
      <sheetName val="Sangram"/>
      <sheetName val="Jeevanjyoti"/>
      <sheetName val="Sashakti"/>
      <sheetName val="Lazera"/>
      <sheetName val="Jihobajiri"/>
      <sheetName val="Dr. Ambedkar"/>
      <sheetName val="Mother Teresa"/>
      <sheetName val="Sahid Bhagatsingh"/>
      <sheetName val="Bethel"/>
      <sheetName val="Triranga"/>
      <sheetName val="Shantidata"/>
      <sheetName val="Jay Sriram"/>
      <sheetName val="Sheet2"/>
      <sheetName val="Sheet3"/>
      <sheetName val="Sheet4"/>
      <sheetName val="Sheet5"/>
      <sheetName val="Sheet6"/>
      <sheetName val="Sheet7"/>
      <sheetName val="Sheet8"/>
      <sheetName val="Sheet9"/>
    </sheetNames>
    <sheetDataSet>
      <sheetData sheetId="0"/>
      <sheetData sheetId="1"/>
      <sheetData sheetId="2"/>
      <sheetData sheetId="3">
        <row r="16">
          <cell r="F16">
            <v>4</v>
          </cell>
          <cell r="H16">
            <v>9</v>
          </cell>
          <cell r="J16">
            <v>1</v>
          </cell>
          <cell r="L16">
            <v>12</v>
          </cell>
        </row>
        <row r="18">
          <cell r="C18">
            <v>87</v>
          </cell>
          <cell r="E18">
            <v>39</v>
          </cell>
          <cell r="G18">
            <v>12</v>
          </cell>
          <cell r="I18">
            <v>6</v>
          </cell>
        </row>
        <row r="19">
          <cell r="C19">
            <v>181</v>
          </cell>
          <cell r="E19">
            <v>121</v>
          </cell>
          <cell r="G19">
            <v>19</v>
          </cell>
        </row>
        <row r="20">
          <cell r="C20">
            <v>235</v>
          </cell>
          <cell r="E20">
            <v>119</v>
          </cell>
          <cell r="G20">
            <v>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a Thakurani"/>
      <sheetName val="Subhasree"/>
      <sheetName val="Nagabali"/>
      <sheetName val="Maa Gayatri"/>
      <sheetName val="Maa Adimata"/>
      <sheetName val="Tribeni"/>
      <sheetName val="Dharitri"/>
      <sheetName val="Khandual"/>
      <sheetName val="Laxmi"/>
      <sheetName val="Mataji"/>
      <sheetName val="Kanbura"/>
      <sheetName val="Sikilimali"/>
      <sheetName val="GV PH-I TH.RAMPUR"/>
      <sheetName val="Sheet3"/>
    </sheetNames>
    <sheetDataSet>
      <sheetData sheetId="0" refreshError="1"/>
      <sheetData sheetId="1">
        <row r="16">
          <cell r="F16">
            <v>6</v>
          </cell>
          <cell r="H16">
            <v>13</v>
          </cell>
          <cell r="J16">
            <v>1</v>
          </cell>
          <cell r="L16">
            <v>45</v>
          </cell>
        </row>
        <row r="18">
          <cell r="C18">
            <v>110</v>
          </cell>
          <cell r="E18">
            <v>26</v>
          </cell>
          <cell r="G18">
            <v>0</v>
          </cell>
          <cell r="I18">
            <v>44</v>
          </cell>
        </row>
        <row r="19">
          <cell r="C19">
            <v>317</v>
          </cell>
          <cell r="E19">
            <v>76</v>
          </cell>
          <cell r="G19">
            <v>0</v>
          </cell>
        </row>
        <row r="20">
          <cell r="C20">
            <v>361</v>
          </cell>
          <cell r="E20">
            <v>68</v>
          </cell>
          <cell r="G20">
            <v>0</v>
          </cell>
        </row>
      </sheetData>
      <sheetData sheetId="2">
        <row r="16">
          <cell r="F16">
            <v>4</v>
          </cell>
          <cell r="H16">
            <v>19</v>
          </cell>
          <cell r="J16">
            <v>2</v>
          </cell>
          <cell r="L16">
            <v>40</v>
          </cell>
        </row>
        <row r="18">
          <cell r="C18">
            <v>123</v>
          </cell>
          <cell r="E18">
            <v>17</v>
          </cell>
          <cell r="G18">
            <v>66</v>
          </cell>
          <cell r="I18">
            <v>11</v>
          </cell>
        </row>
        <row r="19">
          <cell r="C19">
            <v>293</v>
          </cell>
          <cell r="E19">
            <v>38</v>
          </cell>
          <cell r="G19">
            <v>145</v>
          </cell>
        </row>
        <row r="20">
          <cell r="C20">
            <v>280</v>
          </cell>
          <cell r="E20">
            <v>45</v>
          </cell>
          <cell r="G20">
            <v>145</v>
          </cell>
        </row>
      </sheetData>
      <sheetData sheetId="3">
        <row r="16">
          <cell r="F16">
            <v>3</v>
          </cell>
          <cell r="H16">
            <v>3</v>
          </cell>
          <cell r="J16">
            <v>1</v>
          </cell>
          <cell r="L16">
            <v>4</v>
          </cell>
        </row>
        <row r="18">
          <cell r="C18">
            <v>42</v>
          </cell>
          <cell r="E18">
            <v>5</v>
          </cell>
          <cell r="G18">
            <v>0</v>
          </cell>
          <cell r="I18">
            <v>3</v>
          </cell>
        </row>
        <row r="19">
          <cell r="C19">
            <v>74</v>
          </cell>
          <cell r="E19">
            <v>6</v>
          </cell>
          <cell r="G19">
            <v>0</v>
          </cell>
        </row>
        <row r="20">
          <cell r="C20">
            <v>95</v>
          </cell>
          <cell r="E20">
            <v>15</v>
          </cell>
          <cell r="G20">
            <v>0</v>
          </cell>
        </row>
      </sheetData>
      <sheetData sheetId="4">
        <row r="16">
          <cell r="F16">
            <v>2</v>
          </cell>
          <cell r="H16">
            <v>4</v>
          </cell>
          <cell r="J16">
            <v>1</v>
          </cell>
          <cell r="L16">
            <v>8</v>
          </cell>
        </row>
        <row r="18">
          <cell r="C18">
            <v>42</v>
          </cell>
          <cell r="E18">
            <v>3</v>
          </cell>
          <cell r="G18">
            <v>4</v>
          </cell>
          <cell r="I18">
            <v>5</v>
          </cell>
        </row>
        <row r="19">
          <cell r="C19">
            <v>117</v>
          </cell>
          <cell r="E19">
            <v>36</v>
          </cell>
          <cell r="G19">
            <v>10</v>
          </cell>
        </row>
        <row r="20">
          <cell r="C20">
            <v>34</v>
          </cell>
          <cell r="E20">
            <v>9</v>
          </cell>
          <cell r="G20">
            <v>12</v>
          </cell>
        </row>
      </sheetData>
      <sheetData sheetId="5">
        <row r="16">
          <cell r="F16">
            <v>3</v>
          </cell>
          <cell r="H16">
            <v>8</v>
          </cell>
          <cell r="J16">
            <v>1</v>
          </cell>
          <cell r="L16">
            <v>6</v>
          </cell>
        </row>
        <row r="18">
          <cell r="C18">
            <v>46</v>
          </cell>
          <cell r="E18">
            <v>16</v>
          </cell>
          <cell r="G18">
            <v>24</v>
          </cell>
          <cell r="I18">
            <v>5</v>
          </cell>
        </row>
        <row r="19">
          <cell r="C19">
            <v>95</v>
          </cell>
          <cell r="E19">
            <v>42</v>
          </cell>
          <cell r="G19">
            <v>98</v>
          </cell>
        </row>
        <row r="20">
          <cell r="C20">
            <v>95</v>
          </cell>
          <cell r="E20">
            <v>28</v>
          </cell>
          <cell r="G20">
            <v>76</v>
          </cell>
        </row>
      </sheetData>
      <sheetData sheetId="6">
        <row r="16">
          <cell r="F16">
            <v>2</v>
          </cell>
          <cell r="H16">
            <v>11</v>
          </cell>
          <cell r="J16">
            <v>1</v>
          </cell>
          <cell r="L16">
            <v>10</v>
          </cell>
        </row>
        <row r="18">
          <cell r="C18">
            <v>152</v>
          </cell>
          <cell r="E18">
            <v>12</v>
          </cell>
          <cell r="G18">
            <v>10</v>
          </cell>
          <cell r="I18">
            <v>8</v>
          </cell>
        </row>
        <row r="19">
          <cell r="C19">
            <v>332</v>
          </cell>
          <cell r="E19">
            <v>31</v>
          </cell>
          <cell r="G19">
            <v>21</v>
          </cell>
        </row>
        <row r="20">
          <cell r="C20">
            <v>245</v>
          </cell>
          <cell r="E20">
            <v>12</v>
          </cell>
          <cell r="G20">
            <v>22</v>
          </cell>
        </row>
      </sheetData>
      <sheetData sheetId="7">
        <row r="16">
          <cell r="F16">
            <v>2</v>
          </cell>
          <cell r="H16">
            <v>11</v>
          </cell>
          <cell r="J16">
            <v>1</v>
          </cell>
          <cell r="L16">
            <v>25</v>
          </cell>
        </row>
        <row r="18">
          <cell r="C18">
            <v>96</v>
          </cell>
          <cell r="E18">
            <v>21</v>
          </cell>
          <cell r="G18">
            <v>7</v>
          </cell>
          <cell r="I18">
            <v>16</v>
          </cell>
        </row>
        <row r="19">
          <cell r="C19">
            <v>209</v>
          </cell>
          <cell r="E19">
            <v>86</v>
          </cell>
          <cell r="G19">
            <v>38</v>
          </cell>
        </row>
        <row r="20">
          <cell r="C20">
            <v>205</v>
          </cell>
          <cell r="E20">
            <v>62</v>
          </cell>
          <cell r="G20">
            <v>32</v>
          </cell>
        </row>
      </sheetData>
      <sheetData sheetId="8">
        <row r="16">
          <cell r="F16">
            <v>3</v>
          </cell>
          <cell r="H16">
            <v>12</v>
          </cell>
          <cell r="J16">
            <v>1</v>
          </cell>
          <cell r="L16">
            <v>14</v>
          </cell>
        </row>
        <row r="18">
          <cell r="C18">
            <v>120</v>
          </cell>
          <cell r="E18">
            <v>19</v>
          </cell>
          <cell r="G18">
            <v>0</v>
          </cell>
          <cell r="I18">
            <v>8</v>
          </cell>
        </row>
        <row r="19">
          <cell r="C19">
            <v>245</v>
          </cell>
          <cell r="E19">
            <v>55</v>
          </cell>
        </row>
        <row r="20">
          <cell r="C20">
            <v>59</v>
          </cell>
          <cell r="E20">
            <v>120</v>
          </cell>
        </row>
      </sheetData>
      <sheetData sheetId="9">
        <row r="16">
          <cell r="F16">
            <v>3</v>
          </cell>
          <cell r="H16">
            <v>16</v>
          </cell>
          <cell r="J16">
            <v>2</v>
          </cell>
          <cell r="L16">
            <v>25</v>
          </cell>
        </row>
        <row r="18">
          <cell r="C18">
            <v>122</v>
          </cell>
          <cell r="E18">
            <v>58</v>
          </cell>
          <cell r="G18">
            <v>10</v>
          </cell>
          <cell r="I18">
            <v>15</v>
          </cell>
        </row>
        <row r="19">
          <cell r="C19">
            <v>355</v>
          </cell>
          <cell r="E19">
            <v>164</v>
          </cell>
          <cell r="G19">
            <v>21</v>
          </cell>
        </row>
        <row r="20">
          <cell r="C20">
            <v>286</v>
          </cell>
          <cell r="E20">
            <v>142</v>
          </cell>
          <cell r="G20">
            <v>14</v>
          </cell>
        </row>
      </sheetData>
      <sheetData sheetId="10">
        <row r="16">
          <cell r="F16">
            <v>4</v>
          </cell>
          <cell r="H16">
            <v>10</v>
          </cell>
          <cell r="J16">
            <v>1</v>
          </cell>
          <cell r="L16">
            <v>8</v>
          </cell>
        </row>
        <row r="18">
          <cell r="C18">
            <v>94</v>
          </cell>
          <cell r="E18">
            <v>27</v>
          </cell>
          <cell r="G18">
            <v>0</v>
          </cell>
          <cell r="I18">
            <v>6</v>
          </cell>
        </row>
        <row r="19">
          <cell r="C19">
            <v>265</v>
          </cell>
          <cell r="E19">
            <v>85</v>
          </cell>
          <cell r="G19">
            <v>0</v>
          </cell>
        </row>
        <row r="20">
          <cell r="C20">
            <v>243</v>
          </cell>
          <cell r="E20">
            <v>77</v>
          </cell>
          <cell r="G20">
            <v>0</v>
          </cell>
        </row>
      </sheetData>
      <sheetData sheetId="11">
        <row r="16">
          <cell r="F16">
            <v>2</v>
          </cell>
          <cell r="H16">
            <v>5</v>
          </cell>
          <cell r="J16">
            <v>1</v>
          </cell>
          <cell r="L16">
            <v>8</v>
          </cell>
        </row>
        <row r="18">
          <cell r="C18">
            <v>61</v>
          </cell>
          <cell r="E18">
            <v>9</v>
          </cell>
          <cell r="G18">
            <v>0</v>
          </cell>
          <cell r="I18">
            <v>5</v>
          </cell>
        </row>
        <row r="19">
          <cell r="C19">
            <v>198</v>
          </cell>
          <cell r="E19">
            <v>30</v>
          </cell>
          <cell r="G19">
            <v>0</v>
          </cell>
        </row>
        <row r="20">
          <cell r="C20">
            <v>156</v>
          </cell>
          <cell r="E20">
            <v>15</v>
          </cell>
          <cell r="G20">
            <v>0</v>
          </cell>
        </row>
      </sheetData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rm A"/>
      <sheetName val="Form A (2)"/>
      <sheetName val="Form A (3)"/>
      <sheetName val="Form A (4)"/>
      <sheetName val="Form A (5)"/>
      <sheetName val="Form A (6)"/>
      <sheetName val="Form A (7)"/>
      <sheetName val="Form A (8)"/>
      <sheetName val="Form A (9)"/>
      <sheetName val="Form A (10)"/>
      <sheetName val="Form B"/>
      <sheetName val="LAVS"/>
      <sheetName val="Form D"/>
    </sheetNames>
    <sheetDataSet>
      <sheetData sheetId="0">
        <row r="19">
          <cell r="J19">
            <v>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rm A"/>
      <sheetName val="Form A (2)"/>
      <sheetName val="Form A (3)"/>
      <sheetName val="Form A (4)"/>
      <sheetName val="Form A (5)"/>
      <sheetName val="Form A (6)"/>
      <sheetName val="Form A (7)"/>
      <sheetName val="Form A (8)"/>
      <sheetName val="Form A (9)"/>
      <sheetName val="Form A (10)"/>
      <sheetName val="Form B"/>
      <sheetName val="TSRD SEMILIGUDA"/>
      <sheetName val="Form D"/>
    </sheetNames>
    <sheetDataSet>
      <sheetData sheetId="0">
        <row r="18">
          <cell r="L18">
            <v>26</v>
          </cell>
          <cell r="N18">
            <v>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ISION"/>
      <sheetName val="DEVAGIRI"/>
      <sheetName val="HEMAYANA"/>
      <sheetName val="Emani"/>
      <sheetName val="NILLA"/>
      <sheetName val="BALINGDA"/>
      <sheetName val="SION"/>
      <sheetName val="SHANTI"/>
      <sheetName val="GAMMA"/>
      <sheetName val="ALEMBA"/>
      <sheetName val="CCD"/>
      <sheetName val="fACT-B"/>
      <sheetName val="fACT-D"/>
    </sheetNames>
    <sheetDataSet>
      <sheetData sheetId="0">
        <row r="4">
          <cell r="K4">
            <v>569.50800000000004</v>
          </cell>
        </row>
        <row r="17">
          <cell r="L17">
            <v>12</v>
          </cell>
        </row>
        <row r="20">
          <cell r="K20">
            <v>31</v>
          </cell>
          <cell r="N20">
            <v>27</v>
          </cell>
        </row>
      </sheetData>
      <sheetData sheetId="1">
        <row r="4">
          <cell r="K4">
            <v>662.21699999999998</v>
          </cell>
        </row>
        <row r="17">
          <cell r="L17">
            <v>12</v>
          </cell>
        </row>
        <row r="20">
          <cell r="K20">
            <v>20</v>
          </cell>
          <cell r="N20">
            <v>35</v>
          </cell>
        </row>
      </sheetData>
      <sheetData sheetId="2">
        <row r="4">
          <cell r="K4">
            <v>505.67899999999997</v>
          </cell>
        </row>
        <row r="17">
          <cell r="L17">
            <v>12</v>
          </cell>
        </row>
        <row r="20">
          <cell r="K20">
            <v>22</v>
          </cell>
          <cell r="N20">
            <v>15</v>
          </cell>
        </row>
      </sheetData>
      <sheetData sheetId="3">
        <row r="4">
          <cell r="K4">
            <v>563.952</v>
          </cell>
        </row>
        <row r="17">
          <cell r="L17">
            <v>8</v>
          </cell>
        </row>
        <row r="20">
          <cell r="K20">
            <v>28</v>
          </cell>
          <cell r="N20">
            <v>34</v>
          </cell>
        </row>
      </sheetData>
      <sheetData sheetId="4">
        <row r="4">
          <cell r="K4">
            <v>487.95600000000002</v>
          </cell>
        </row>
        <row r="17">
          <cell r="L17">
            <v>8</v>
          </cell>
        </row>
        <row r="20">
          <cell r="K20">
            <v>57</v>
          </cell>
          <cell r="N20">
            <v>15</v>
          </cell>
        </row>
      </sheetData>
      <sheetData sheetId="5">
        <row r="4">
          <cell r="K4">
            <v>459.30099999999999</v>
          </cell>
        </row>
        <row r="17">
          <cell r="L17">
            <v>12</v>
          </cell>
        </row>
        <row r="20">
          <cell r="K20">
            <v>56</v>
          </cell>
          <cell r="N20">
            <v>13</v>
          </cell>
        </row>
      </sheetData>
      <sheetData sheetId="6">
        <row r="4">
          <cell r="K4">
            <v>501.39499999999998</v>
          </cell>
        </row>
        <row r="17">
          <cell r="L17">
            <v>12</v>
          </cell>
        </row>
        <row r="20">
          <cell r="K20">
            <v>10</v>
          </cell>
          <cell r="N20">
            <v>13</v>
          </cell>
        </row>
      </sheetData>
      <sheetData sheetId="7">
        <row r="4">
          <cell r="K4">
            <v>471.75799999999998</v>
          </cell>
        </row>
        <row r="17">
          <cell r="L17">
            <v>12</v>
          </cell>
        </row>
        <row r="20">
          <cell r="K20">
            <v>10</v>
          </cell>
          <cell r="N20">
            <v>16</v>
          </cell>
        </row>
      </sheetData>
      <sheetData sheetId="8">
        <row r="4">
          <cell r="K4">
            <v>615.59199999999998</v>
          </cell>
        </row>
        <row r="17">
          <cell r="L17">
            <v>8</v>
          </cell>
        </row>
        <row r="20">
          <cell r="K20">
            <v>11</v>
          </cell>
          <cell r="N20">
            <v>20</v>
          </cell>
        </row>
      </sheetData>
      <sheetData sheetId="9">
        <row r="4">
          <cell r="K4">
            <v>473.59100000000001</v>
          </cell>
        </row>
        <row r="17">
          <cell r="L17">
            <v>8</v>
          </cell>
        </row>
        <row r="20">
          <cell r="K20">
            <v>23</v>
          </cell>
          <cell r="N20">
            <v>23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5"/>
      <sheetName val="Sheet1"/>
      <sheetName val="Sheet2"/>
      <sheetName val="Sheet3"/>
      <sheetName val="Sheet4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>
        <row r="16">
          <cell r="C16">
            <v>97</v>
          </cell>
          <cell r="E16">
            <v>44</v>
          </cell>
          <cell r="G16">
            <v>36</v>
          </cell>
          <cell r="I16">
            <v>177</v>
          </cell>
          <cell r="K16">
            <v>28</v>
          </cell>
          <cell r="N16">
            <v>9</v>
          </cell>
        </row>
        <row r="17">
          <cell r="C17">
            <v>181</v>
          </cell>
          <cell r="E17">
            <v>93</v>
          </cell>
          <cell r="G17">
            <v>62</v>
          </cell>
          <cell r="I17">
            <v>336</v>
          </cell>
        </row>
        <row r="18">
          <cell r="C18">
            <v>251</v>
          </cell>
          <cell r="E18">
            <v>83</v>
          </cell>
          <cell r="G18">
            <v>63</v>
          </cell>
          <cell r="I18">
            <v>397</v>
          </cell>
        </row>
      </sheetData>
      <sheetData sheetId="3">
        <row r="16">
          <cell r="C16">
            <v>213</v>
          </cell>
          <cell r="E16">
            <v>23</v>
          </cell>
          <cell r="G16">
            <v>17</v>
          </cell>
          <cell r="I16">
            <v>253</v>
          </cell>
          <cell r="K16">
            <v>39</v>
          </cell>
          <cell r="N16">
            <v>14</v>
          </cell>
        </row>
        <row r="17">
          <cell r="C17">
            <v>507</v>
          </cell>
          <cell r="E17">
            <v>68</v>
          </cell>
          <cell r="G17">
            <v>34</v>
          </cell>
          <cell r="I17">
            <v>609</v>
          </cell>
        </row>
        <row r="18">
          <cell r="C18">
            <v>494</v>
          </cell>
          <cell r="E18">
            <v>36</v>
          </cell>
          <cell r="G18">
            <v>34</v>
          </cell>
          <cell r="I18">
            <v>584</v>
          </cell>
        </row>
      </sheetData>
      <sheetData sheetId="4">
        <row r="16">
          <cell r="C16">
            <v>25</v>
          </cell>
          <cell r="E16">
            <v>13</v>
          </cell>
          <cell r="G16">
            <v>6</v>
          </cell>
          <cell r="I16">
            <v>44</v>
          </cell>
          <cell r="K16">
            <v>31</v>
          </cell>
          <cell r="N16">
            <v>11</v>
          </cell>
        </row>
        <row r="17">
          <cell r="C17">
            <v>322</v>
          </cell>
          <cell r="E17">
            <v>48</v>
          </cell>
          <cell r="G17">
            <v>9</v>
          </cell>
          <cell r="I17">
            <v>379</v>
          </cell>
        </row>
        <row r="18">
          <cell r="C18">
            <v>302</v>
          </cell>
          <cell r="E18">
            <v>46</v>
          </cell>
          <cell r="G18">
            <v>17</v>
          </cell>
          <cell r="I18">
            <v>365</v>
          </cell>
        </row>
      </sheetData>
      <sheetData sheetId="5">
        <row r="16">
          <cell r="C16">
            <v>167</v>
          </cell>
          <cell r="E16">
            <v>7</v>
          </cell>
          <cell r="G16">
            <v>43</v>
          </cell>
          <cell r="I16">
            <v>217</v>
          </cell>
          <cell r="K16">
            <v>32</v>
          </cell>
          <cell r="N16">
            <v>13</v>
          </cell>
        </row>
        <row r="17">
          <cell r="C17">
            <v>356</v>
          </cell>
          <cell r="E17">
            <v>28</v>
          </cell>
          <cell r="G17">
            <v>178</v>
          </cell>
          <cell r="I17">
            <v>562</v>
          </cell>
        </row>
        <row r="18">
          <cell r="C18">
            <v>271</v>
          </cell>
          <cell r="E18">
            <v>34</v>
          </cell>
          <cell r="G18">
            <v>117</v>
          </cell>
          <cell r="I18">
            <v>422</v>
          </cell>
        </row>
      </sheetData>
      <sheetData sheetId="6">
        <row r="16">
          <cell r="C16">
            <v>136</v>
          </cell>
          <cell r="G16">
            <v>30</v>
          </cell>
          <cell r="I16">
            <v>166</v>
          </cell>
          <cell r="K16">
            <v>41</v>
          </cell>
          <cell r="N16">
            <v>9</v>
          </cell>
        </row>
        <row r="17">
          <cell r="C17">
            <v>308</v>
          </cell>
          <cell r="G17">
            <v>73</v>
          </cell>
          <cell r="I17">
            <v>381</v>
          </cell>
        </row>
        <row r="18">
          <cell r="C18">
            <v>314</v>
          </cell>
          <cell r="G18">
            <v>56</v>
          </cell>
          <cell r="I18">
            <v>370</v>
          </cell>
        </row>
      </sheetData>
      <sheetData sheetId="7">
        <row r="16">
          <cell r="C16">
            <v>252</v>
          </cell>
          <cell r="E16">
            <v>65</v>
          </cell>
          <cell r="G16">
            <v>35</v>
          </cell>
          <cell r="I16">
            <v>352</v>
          </cell>
          <cell r="K16">
            <v>22</v>
          </cell>
          <cell r="N16">
            <v>10</v>
          </cell>
        </row>
        <row r="17">
          <cell r="C17">
            <v>423</v>
          </cell>
          <cell r="E17">
            <v>53</v>
          </cell>
          <cell r="G17">
            <v>46</v>
          </cell>
          <cell r="I17">
            <v>522</v>
          </cell>
        </row>
        <row r="18">
          <cell r="C18">
            <v>352</v>
          </cell>
          <cell r="E18">
            <v>50</v>
          </cell>
          <cell r="G18">
            <v>31</v>
          </cell>
          <cell r="I18">
            <v>433</v>
          </cell>
        </row>
      </sheetData>
      <sheetData sheetId="8">
        <row r="16">
          <cell r="C16">
            <v>215</v>
          </cell>
          <cell r="E16">
            <v>7</v>
          </cell>
          <cell r="G16">
            <v>2</v>
          </cell>
          <cell r="I16">
            <v>224</v>
          </cell>
          <cell r="K16">
            <v>18</v>
          </cell>
          <cell r="N16">
            <v>9</v>
          </cell>
        </row>
        <row r="17">
          <cell r="C17">
            <v>443</v>
          </cell>
          <cell r="E17">
            <v>15</v>
          </cell>
          <cell r="G17">
            <v>4</v>
          </cell>
          <cell r="I17">
            <v>462</v>
          </cell>
        </row>
        <row r="18">
          <cell r="C18">
            <v>405</v>
          </cell>
          <cell r="E18">
            <v>21</v>
          </cell>
          <cell r="G18">
            <v>8</v>
          </cell>
          <cell r="I18">
            <v>434</v>
          </cell>
        </row>
      </sheetData>
      <sheetData sheetId="9">
        <row r="16">
          <cell r="C16">
            <v>86</v>
          </cell>
          <cell r="G16">
            <v>15</v>
          </cell>
          <cell r="I16">
            <v>101</v>
          </cell>
          <cell r="K16">
            <v>16</v>
          </cell>
          <cell r="N16">
            <v>8</v>
          </cell>
        </row>
        <row r="17">
          <cell r="C17">
            <v>210</v>
          </cell>
          <cell r="G17">
            <v>31</v>
          </cell>
          <cell r="I17">
            <v>241</v>
          </cell>
        </row>
        <row r="18">
          <cell r="C18">
            <v>167</v>
          </cell>
          <cell r="G18">
            <v>32</v>
          </cell>
          <cell r="I18">
            <v>199</v>
          </cell>
        </row>
      </sheetData>
      <sheetData sheetId="10">
        <row r="16">
          <cell r="C16">
            <v>168</v>
          </cell>
          <cell r="E16">
            <v>38</v>
          </cell>
          <cell r="G16">
            <v>23</v>
          </cell>
          <cell r="I16">
            <v>229</v>
          </cell>
          <cell r="K16">
            <v>26</v>
          </cell>
          <cell r="N16">
            <v>11</v>
          </cell>
        </row>
        <row r="17">
          <cell r="C17">
            <v>320</v>
          </cell>
          <cell r="E17">
            <v>93</v>
          </cell>
          <cell r="G17">
            <v>35</v>
          </cell>
          <cell r="I17">
            <v>448</v>
          </cell>
        </row>
        <row r="18">
          <cell r="C18">
            <v>345</v>
          </cell>
          <cell r="E18">
            <v>92</v>
          </cell>
          <cell r="G18">
            <v>31</v>
          </cell>
          <cell r="I18">
            <v>468</v>
          </cell>
        </row>
      </sheetData>
      <sheetData sheetId="11">
        <row r="16">
          <cell r="C16">
            <v>215</v>
          </cell>
          <cell r="E16">
            <v>9</v>
          </cell>
          <cell r="G16">
            <v>88</v>
          </cell>
          <cell r="I16">
            <v>312</v>
          </cell>
          <cell r="K16">
            <v>71</v>
          </cell>
          <cell r="N16">
            <v>18</v>
          </cell>
        </row>
        <row r="17">
          <cell r="C17">
            <v>438</v>
          </cell>
          <cell r="E17">
            <v>18</v>
          </cell>
          <cell r="G17">
            <v>160</v>
          </cell>
          <cell r="I17">
            <v>616</v>
          </cell>
        </row>
        <row r="18">
          <cell r="C18">
            <v>473</v>
          </cell>
          <cell r="E18">
            <v>14</v>
          </cell>
          <cell r="G18">
            <v>175</v>
          </cell>
          <cell r="I18">
            <v>662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PARIVARTTAN"/>
      <sheetName val="Sheet4"/>
    </sheetNames>
    <sheetDataSet>
      <sheetData sheetId="0">
        <row r="16">
          <cell r="L16">
            <v>3</v>
          </cell>
        </row>
        <row r="52">
          <cell r="L52">
            <v>7</v>
          </cell>
        </row>
        <row r="90">
          <cell r="L90">
            <v>6</v>
          </cell>
        </row>
        <row r="129">
          <cell r="L129">
            <v>3</v>
          </cell>
        </row>
        <row r="165">
          <cell r="L165">
            <v>3</v>
          </cell>
        </row>
        <row r="202">
          <cell r="L202">
            <v>4</v>
          </cell>
        </row>
        <row r="240">
          <cell r="L240">
            <v>3</v>
          </cell>
        </row>
        <row r="280">
          <cell r="L280">
            <v>5</v>
          </cell>
        </row>
        <row r="317">
          <cell r="L317">
            <v>4</v>
          </cell>
        </row>
        <row r="354">
          <cell r="L354">
            <v>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ansadhara"/>
      <sheetName val="Jeevan Jyoti"/>
      <sheetName val="REWA"/>
      <sheetName val="Lehurilima"/>
      <sheetName val="Maa Manikeswari"/>
      <sheetName val="Chaturveda"/>
      <sheetName val="Jeobajiri"/>
      <sheetName val="Dhanpati"/>
      <sheetName val="Brahmanidei"/>
      <sheetName val="Mahendranaya"/>
      <sheetName val="MWS 2"/>
      <sheetName val="FNGO 1"/>
      <sheetName val="FNGO 2"/>
      <sheetName val="Sheet1"/>
    </sheetNames>
    <sheetDataSet>
      <sheetData sheetId="0">
        <row r="18">
          <cell r="L18">
            <v>4</v>
          </cell>
        </row>
      </sheetData>
      <sheetData sheetId="1">
        <row r="18">
          <cell r="L18">
            <v>2</v>
          </cell>
        </row>
      </sheetData>
      <sheetData sheetId="2">
        <row r="18">
          <cell r="L18">
            <v>2</v>
          </cell>
        </row>
      </sheetData>
      <sheetData sheetId="3">
        <row r="18">
          <cell r="L18">
            <v>3</v>
          </cell>
        </row>
      </sheetData>
      <sheetData sheetId="4">
        <row r="18">
          <cell r="L18">
            <v>2</v>
          </cell>
        </row>
      </sheetData>
      <sheetData sheetId="5">
        <row r="18">
          <cell r="L18">
            <v>3</v>
          </cell>
        </row>
      </sheetData>
      <sheetData sheetId="6">
        <row r="18">
          <cell r="L18">
            <v>4</v>
          </cell>
        </row>
      </sheetData>
      <sheetData sheetId="7">
        <row r="18">
          <cell r="L18">
            <v>2</v>
          </cell>
        </row>
      </sheetData>
      <sheetData sheetId="8">
        <row r="18">
          <cell r="L18">
            <v>4</v>
          </cell>
        </row>
      </sheetData>
      <sheetData sheetId="9">
        <row r="17">
          <cell r="L17">
            <v>3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topLeftCell="A19" workbookViewId="0">
      <selection activeCell="C30" sqref="C30"/>
    </sheetView>
  </sheetViews>
  <sheetFormatPr defaultColWidth="9.140625" defaultRowHeight="15"/>
  <cols>
    <col min="1" max="1" width="6.28515625" customWidth="1"/>
    <col min="2" max="2" width="16.7109375" customWidth="1"/>
    <col min="3" max="3" width="21.5703125" customWidth="1"/>
    <col min="4" max="4" width="29.28515625" customWidth="1"/>
    <col min="5" max="16384" width="9.140625" style="62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2" t="s">
        <v>5</v>
      </c>
      <c r="C2" s="2" t="s">
        <v>6</v>
      </c>
      <c r="D2" s="5" t="s">
        <v>7</v>
      </c>
    </row>
    <row r="3" spans="1:4">
      <c r="A3" s="2">
        <v>2</v>
      </c>
      <c r="B3" s="2" t="s">
        <v>5</v>
      </c>
      <c r="C3" s="2" t="s">
        <v>6</v>
      </c>
      <c r="D3" s="5" t="s">
        <v>8</v>
      </c>
    </row>
    <row r="4" spans="1:4">
      <c r="A4" s="2">
        <v>3</v>
      </c>
      <c r="B4" s="2" t="s">
        <v>5</v>
      </c>
      <c r="C4" s="2" t="s">
        <v>9</v>
      </c>
      <c r="D4" s="5" t="s">
        <v>10</v>
      </c>
    </row>
    <row r="5" spans="1:4">
      <c r="A5" s="2">
        <v>4</v>
      </c>
      <c r="B5" s="4" t="s">
        <v>5</v>
      </c>
      <c r="C5" s="4" t="s">
        <v>9</v>
      </c>
      <c r="D5" s="112" t="s">
        <v>218</v>
      </c>
    </row>
    <row r="6" spans="1:4">
      <c r="A6" s="2">
        <v>5</v>
      </c>
      <c r="B6" s="4" t="s">
        <v>5</v>
      </c>
      <c r="C6" s="4" t="s">
        <v>219</v>
      </c>
      <c r="D6" s="112" t="s">
        <v>220</v>
      </c>
    </row>
    <row r="7" spans="1:4" s="915" customFormat="1">
      <c r="A7" s="4">
        <v>6</v>
      </c>
      <c r="B7" s="4" t="s">
        <v>11</v>
      </c>
      <c r="C7" s="4" t="s">
        <v>12</v>
      </c>
      <c r="D7" s="112" t="s">
        <v>13</v>
      </c>
    </row>
    <row r="8" spans="1:4" s="915" customFormat="1">
      <c r="A8" s="4">
        <v>7</v>
      </c>
      <c r="B8" s="4" t="s">
        <v>11</v>
      </c>
      <c r="C8" s="4" t="s">
        <v>14</v>
      </c>
      <c r="D8" s="112" t="s">
        <v>15</v>
      </c>
    </row>
    <row r="9" spans="1:4" s="915" customFormat="1">
      <c r="A9" s="4">
        <v>8</v>
      </c>
      <c r="B9" s="4" t="s">
        <v>11</v>
      </c>
      <c r="C9" s="4" t="s">
        <v>16</v>
      </c>
      <c r="D9" s="112" t="s">
        <v>17</v>
      </c>
    </row>
    <row r="10" spans="1:4" s="915" customFormat="1">
      <c r="A10" s="4">
        <v>9</v>
      </c>
      <c r="B10" s="4" t="s">
        <v>11</v>
      </c>
      <c r="C10" s="4" t="s">
        <v>221</v>
      </c>
      <c r="D10" s="112" t="s">
        <v>222</v>
      </c>
    </row>
    <row r="11" spans="1:4" s="915" customFormat="1">
      <c r="A11" s="4">
        <v>10</v>
      </c>
      <c r="B11" s="4" t="s">
        <v>11</v>
      </c>
      <c r="C11" s="4" t="s">
        <v>223</v>
      </c>
      <c r="D11" s="112" t="s">
        <v>224</v>
      </c>
    </row>
    <row r="12" spans="1:4" s="915" customFormat="1">
      <c r="A12" s="4">
        <v>11</v>
      </c>
      <c r="B12" s="4" t="s">
        <v>11</v>
      </c>
      <c r="C12" s="4" t="s">
        <v>217</v>
      </c>
      <c r="D12" s="112" t="s">
        <v>225</v>
      </c>
    </row>
    <row r="13" spans="1:4" s="915" customFormat="1">
      <c r="A13" s="4">
        <v>12</v>
      </c>
      <c r="B13" s="4" t="s">
        <v>11</v>
      </c>
      <c r="C13" s="4" t="s">
        <v>226</v>
      </c>
      <c r="D13" s="112" t="s">
        <v>227</v>
      </c>
    </row>
    <row r="14" spans="1:4">
      <c r="A14" s="2">
        <v>13</v>
      </c>
      <c r="B14" s="4" t="s">
        <v>18</v>
      </c>
      <c r="C14" s="4" t="s">
        <v>19</v>
      </c>
      <c r="D14" s="112" t="s">
        <v>20</v>
      </c>
    </row>
    <row r="15" spans="1:4">
      <c r="A15" s="2">
        <v>14</v>
      </c>
      <c r="B15" s="4" t="s">
        <v>18</v>
      </c>
      <c r="C15" s="4" t="s">
        <v>21</v>
      </c>
      <c r="D15" s="112" t="s">
        <v>22</v>
      </c>
    </row>
    <row r="16" spans="1:4">
      <c r="A16" s="2">
        <v>15</v>
      </c>
      <c r="B16" s="4" t="s">
        <v>18</v>
      </c>
      <c r="C16" s="4" t="s">
        <v>23</v>
      </c>
      <c r="D16" s="112" t="s">
        <v>24</v>
      </c>
    </row>
    <row r="17" spans="1:4">
      <c r="A17" s="2">
        <v>16</v>
      </c>
      <c r="B17" s="4" t="s">
        <v>18</v>
      </c>
      <c r="C17" s="4" t="s">
        <v>23</v>
      </c>
      <c r="D17" s="112" t="s">
        <v>25</v>
      </c>
    </row>
    <row r="18" spans="1:4">
      <c r="A18" s="2">
        <v>17</v>
      </c>
      <c r="B18" s="4" t="s">
        <v>18</v>
      </c>
      <c r="C18" s="4" t="s">
        <v>228</v>
      </c>
      <c r="D18" s="112" t="s">
        <v>229</v>
      </c>
    </row>
    <row r="19" spans="1:4">
      <c r="A19" s="2">
        <v>18</v>
      </c>
      <c r="B19" s="4" t="s">
        <v>18</v>
      </c>
      <c r="C19" s="4" t="s">
        <v>230</v>
      </c>
      <c r="D19" s="411" t="s">
        <v>231</v>
      </c>
    </row>
    <row r="20" spans="1:4">
      <c r="A20" s="2">
        <v>19</v>
      </c>
      <c r="B20" s="4" t="s">
        <v>26</v>
      </c>
      <c r="C20" s="4" t="s">
        <v>27</v>
      </c>
      <c r="D20" s="112" t="s">
        <v>28</v>
      </c>
    </row>
    <row r="21" spans="1:4">
      <c r="A21" s="2">
        <v>20</v>
      </c>
      <c r="B21" s="4" t="s">
        <v>26</v>
      </c>
      <c r="C21" s="4" t="s">
        <v>29</v>
      </c>
      <c r="D21" s="112" t="s">
        <v>30</v>
      </c>
    </row>
    <row r="22" spans="1:4">
      <c r="A22" s="2">
        <v>21</v>
      </c>
      <c r="B22" s="4" t="s">
        <v>26</v>
      </c>
      <c r="C22" s="4" t="s">
        <v>166</v>
      </c>
      <c r="D22" s="112" t="s">
        <v>167</v>
      </c>
    </row>
    <row r="23" spans="1:4">
      <c r="A23" s="2">
        <v>22</v>
      </c>
      <c r="B23" s="4" t="s">
        <v>26</v>
      </c>
      <c r="C23" s="4" t="s">
        <v>168</v>
      </c>
      <c r="D23" s="112" t="s">
        <v>169</v>
      </c>
    </row>
    <row r="24" spans="1:4">
      <c r="A24" s="2">
        <v>23</v>
      </c>
      <c r="B24" s="4" t="s">
        <v>26</v>
      </c>
      <c r="C24" s="4" t="s">
        <v>170</v>
      </c>
      <c r="D24" s="112" t="s">
        <v>173</v>
      </c>
    </row>
    <row r="25" spans="1:4">
      <c r="A25" s="2">
        <v>24</v>
      </c>
      <c r="B25" s="4" t="s">
        <v>174</v>
      </c>
      <c r="C25" s="4" t="s">
        <v>175</v>
      </c>
      <c r="D25" s="112" t="s">
        <v>176</v>
      </c>
    </row>
    <row r="26" spans="1:4">
      <c r="A26" s="2">
        <v>25</v>
      </c>
      <c r="B26" s="4" t="s">
        <v>174</v>
      </c>
      <c r="C26" s="4" t="s">
        <v>177</v>
      </c>
      <c r="D26" s="112" t="s">
        <v>178</v>
      </c>
    </row>
    <row r="27" spans="1:4">
      <c r="A27" s="2">
        <v>26</v>
      </c>
      <c r="B27" s="4" t="s">
        <v>174</v>
      </c>
      <c r="C27" s="4" t="s">
        <v>179</v>
      </c>
      <c r="D27" s="112" t="s">
        <v>180</v>
      </c>
    </row>
    <row r="28" spans="1:4">
      <c r="A28" s="2">
        <v>27</v>
      </c>
      <c r="B28" s="4" t="s">
        <v>181</v>
      </c>
      <c r="C28" s="4" t="s">
        <v>182</v>
      </c>
      <c r="D28" s="112" t="s">
        <v>183</v>
      </c>
    </row>
    <row r="29" spans="1:4" s="915" customFormat="1">
      <c r="A29" s="4">
        <v>28</v>
      </c>
      <c r="B29" s="4" t="s">
        <v>181</v>
      </c>
      <c r="C29" s="4" t="s">
        <v>184</v>
      </c>
      <c r="D29" s="112" t="s">
        <v>185</v>
      </c>
    </row>
    <row r="30" spans="1:4">
      <c r="A30" s="2">
        <v>29</v>
      </c>
      <c r="B30" s="4" t="s">
        <v>181</v>
      </c>
      <c r="C30" s="4" t="s">
        <v>186</v>
      </c>
      <c r="D30" s="112" t="s">
        <v>187</v>
      </c>
    </row>
    <row r="31" spans="1:4">
      <c r="A31" s="2">
        <v>30</v>
      </c>
      <c r="B31" s="4" t="s">
        <v>21</v>
      </c>
      <c r="C31" s="4" t="s">
        <v>188</v>
      </c>
      <c r="D31" s="112" t="s">
        <v>189</v>
      </c>
    </row>
    <row r="32" spans="1:4" s="63" customFormat="1">
      <c r="A32" s="2">
        <v>31</v>
      </c>
      <c r="B32" s="54" t="s">
        <v>21</v>
      </c>
      <c r="C32" s="54" t="s">
        <v>190</v>
      </c>
      <c r="D32" s="116" t="s">
        <v>191</v>
      </c>
    </row>
    <row r="33" spans="1:4" s="63" customFormat="1">
      <c r="A33" s="2">
        <v>32</v>
      </c>
      <c r="B33" s="54" t="s">
        <v>21</v>
      </c>
      <c r="C33" s="54" t="s">
        <v>192</v>
      </c>
      <c r="D33" s="116" t="s">
        <v>193</v>
      </c>
    </row>
    <row r="34" spans="1:4" s="63" customFormat="1">
      <c r="A34" s="2">
        <v>33</v>
      </c>
      <c r="B34" s="54" t="s">
        <v>21</v>
      </c>
      <c r="C34" s="54" t="s">
        <v>194</v>
      </c>
      <c r="D34" s="116" t="s">
        <v>195</v>
      </c>
    </row>
    <row r="35" spans="1:4" s="63" customFormat="1">
      <c r="A35" s="2">
        <v>34</v>
      </c>
      <c r="B35" s="54" t="s">
        <v>21</v>
      </c>
      <c r="C35" s="54" t="s">
        <v>196</v>
      </c>
      <c r="D35" s="116" t="s">
        <v>197</v>
      </c>
    </row>
  </sheetData>
  <autoFilter ref="A1:D35">
    <filterColumn colId="1"/>
    <filterColumn colId="2"/>
    <filterColumn colId="3"/>
  </autoFilter>
  <hyperlinks>
    <hyperlink ref="D14" location="CCD!A1" display="CCD"/>
    <hyperlink ref="D15" location="SWWS!A1" display="SWWS"/>
    <hyperlink ref="D16" location="PEACE!A1" display="PEACE"/>
    <hyperlink ref="D17" location="JKP!A1" display="JKP"/>
    <hyperlink ref="D31" location="AKSSUS!A1" display="AKSSUS,Bissamcuttack"/>
    <hyperlink ref="D32" location="BISWA!A1" display="BISWA,Gudari"/>
    <hyperlink ref="D33" location="FARR!A1" display="FARR,Muniguda"/>
    <hyperlink ref="D34" location="SHAKTI!A1" display="SHAKTI,Kasipur"/>
    <hyperlink ref="D35" location="USO!A1" display="USO,Chandrapur"/>
    <hyperlink ref="D28" location="ODC!A1" display="ODC, Mathili"/>
    <hyperlink ref="D29" location="HARMONY!A1" display="HARMONY, Khairput"/>
    <hyperlink ref="D30" location="PARIVARTTAN!A1" display="PARIVARTTAN, Kudumuluguma"/>
    <hyperlink ref="D25" location="IRDMS!A1" display="IRDMS,Papdahandi"/>
    <hyperlink ref="D26" location="IYSARA!A1" display="IYSARA,Jharigaon"/>
    <hyperlink ref="D27" location="RCDC!A1" display="RCDC,Kosagumda"/>
    <hyperlink ref="D2" location="'GV PH-I TH.RAMPUR'!A1" display="Gram Vikas"/>
    <hyperlink ref="D3" location="ANTODAYA!A1" display="Antodaya"/>
    <hyperlink ref="D4" location="'Lanjigarh GVT'!A1" display="GVT"/>
    <hyperlink ref="D5" location="'GRAM VIKASH II LANJIGARH'!A1" display="Gram Vikas, Lanjigarh,Ph-II"/>
    <hyperlink ref="D6" location="'GV PH-II THRAMPUR'!A1" display="Gram Vikas, Th.Rampur,Ph-II"/>
    <hyperlink ref="D7" location="'CYSD LAXMIPUR'!A1" display="CYSD"/>
    <hyperlink ref="D8" location="RASS!A1" display="RASS"/>
    <hyperlink ref="D9" location="VIKASH!A1" display="Vikas"/>
    <hyperlink ref="D10" location="CYSD!A1" display="CYSD , Dasmantapur,Ph-II"/>
    <hyperlink ref="D11" location="LAVS!A1" display="LAVS, Pottangi,Ph-II"/>
    <hyperlink ref="D12" location="'TSRD SEMILIGUDA'!A1" display="TSRD, Semiliguda,Ph-II"/>
    <hyperlink ref="D13" location="'TSRD NANDAPUR'!A1" display="TSRD, Nandapur,Ph-II"/>
    <hyperlink ref="D18" location="'GRAM VIKAS'!A1" display="Gram Vikash,Mohana,Ph-II"/>
    <hyperlink ref="D20" location="PRADATA!A1" display="PRDATA"/>
    <hyperlink ref="D21" location="JAGRUTI!A1" display="Jagruti"/>
    <hyperlink ref="D22" location="'FNGO-CPSW'!A1" display="CPSW,Daringibadi,Ph-II"/>
    <hyperlink ref="D23" location="'FNGO-PRADAN'!A1" display="PRADAN,Baliguda,Ph-II"/>
    <hyperlink ref="D24" location="'FNGO FACT KNuagaon'!A1" display="PRADAN,K.Nuagaon,Ph-II"/>
    <hyperlink ref="D19" location="'SWWS II'!A1" display="SWWS, R. Udayagiri,Ph-I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workbookViewId="0">
      <selection activeCell="A3" sqref="A3:C3"/>
    </sheetView>
  </sheetViews>
  <sheetFormatPr defaultRowHeight="15"/>
  <cols>
    <col min="1" max="1" width="31.5703125" style="248" customWidth="1"/>
    <col min="2" max="4" width="9.140625" style="248"/>
    <col min="5" max="5" width="8.5703125" style="248" customWidth="1"/>
    <col min="6" max="6" width="9.140625" style="248"/>
    <col min="7" max="7" width="10.140625" style="248" bestFit="1" customWidth="1"/>
    <col min="8" max="8" width="9.140625" style="248"/>
    <col min="9" max="9" width="9.28515625" style="248" customWidth="1"/>
    <col min="10" max="10" width="8.140625" style="248" customWidth="1"/>
    <col min="11" max="11" width="9.140625" style="248"/>
    <col min="12" max="12" width="7" style="248" customWidth="1"/>
    <col min="13" max="16384" width="9.140625" style="248"/>
  </cols>
  <sheetData>
    <row r="1" spans="1:14">
      <c r="A1" s="589" t="s">
        <v>31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</row>
    <row r="2" spans="1:14">
      <c r="A2" s="589" t="s">
        <v>570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</row>
    <row r="3" spans="1:14">
      <c r="A3" s="489" t="s">
        <v>585</v>
      </c>
      <c r="B3" s="489"/>
      <c r="C3" s="489"/>
    </row>
    <row r="4" spans="1:14">
      <c r="A4" s="11" t="s">
        <v>309</v>
      </c>
      <c r="B4" s="587" t="s">
        <v>571</v>
      </c>
      <c r="C4" s="588"/>
      <c r="D4" s="11" t="s">
        <v>548</v>
      </c>
      <c r="F4" s="587">
        <v>10</v>
      </c>
      <c r="G4" s="588"/>
      <c r="H4" s="590" t="s">
        <v>4</v>
      </c>
      <c r="I4" s="591"/>
      <c r="J4" s="12">
        <v>5258.73</v>
      </c>
      <c r="K4" s="11" t="s">
        <v>86</v>
      </c>
      <c r="M4" s="12">
        <v>3149.58</v>
      </c>
    </row>
    <row r="5" spans="1:14">
      <c r="A5" s="11"/>
    </row>
    <row r="6" spans="1:14">
      <c r="A6" s="11" t="s">
        <v>549</v>
      </c>
      <c r="B6" s="587"/>
      <c r="C6" s="588"/>
      <c r="D6" s="11" t="s">
        <v>280</v>
      </c>
      <c r="F6" s="587" t="s">
        <v>572</v>
      </c>
      <c r="G6" s="588"/>
      <c r="H6" s="414"/>
      <c r="I6" s="414"/>
    </row>
    <row r="7" spans="1:14">
      <c r="A7" s="11"/>
    </row>
    <row r="8" spans="1:14">
      <c r="A8" s="592" t="s">
        <v>551</v>
      </c>
      <c r="B8" s="593" t="s">
        <v>573</v>
      </c>
      <c r="C8" s="594"/>
      <c r="F8" s="607" t="s">
        <v>408</v>
      </c>
      <c r="G8" s="608"/>
      <c r="H8" s="608"/>
      <c r="I8" s="609"/>
    </row>
    <row r="9" spans="1:14" ht="20.25" customHeight="1">
      <c r="A9" s="592"/>
      <c r="B9" s="595"/>
      <c r="C9" s="596"/>
      <c r="F9" s="610"/>
      <c r="G9" s="611"/>
      <c r="H9" s="611"/>
      <c r="I9" s="612"/>
    </row>
    <row r="10" spans="1:14">
      <c r="A10" s="11"/>
      <c r="B10" s="197"/>
      <c r="C10" s="197"/>
      <c r="F10" s="197"/>
      <c r="G10" s="197"/>
      <c r="H10" s="197"/>
      <c r="I10" s="197"/>
    </row>
    <row r="11" spans="1:14">
      <c r="A11" s="11" t="s">
        <v>554</v>
      </c>
      <c r="B11" s="198">
        <v>31</v>
      </c>
      <c r="C11" s="197" t="s">
        <v>555</v>
      </c>
      <c r="F11" s="198">
        <v>30</v>
      </c>
      <c r="G11" s="197" t="s">
        <v>556</v>
      </c>
      <c r="H11" s="198">
        <v>245</v>
      </c>
      <c r="I11" s="197" t="s">
        <v>160</v>
      </c>
      <c r="J11" s="253">
        <v>25</v>
      </c>
      <c r="K11" s="197" t="s">
        <v>161</v>
      </c>
      <c r="L11" s="253">
        <v>233</v>
      </c>
    </row>
    <row r="12" spans="1:14">
      <c r="A12" s="11"/>
      <c r="B12" s="197"/>
      <c r="C12" s="197"/>
      <c r="F12" s="197"/>
      <c r="G12" s="197"/>
      <c r="H12" s="197"/>
      <c r="I12" s="197"/>
    </row>
    <row r="13" spans="1:14">
      <c r="A13" s="11"/>
    </row>
    <row r="14" spans="1:14" ht="22.5">
      <c r="A14" s="11" t="s">
        <v>96</v>
      </c>
      <c r="C14" s="11" t="s">
        <v>40</v>
      </c>
      <c r="D14" s="253"/>
      <c r="E14" s="11" t="s">
        <v>41</v>
      </c>
      <c r="F14" s="253"/>
      <c r="G14" s="11" t="s">
        <v>42</v>
      </c>
      <c r="H14" s="253"/>
      <c r="I14" s="11" t="s">
        <v>64</v>
      </c>
      <c r="J14" s="253"/>
      <c r="K14" s="11" t="s">
        <v>43</v>
      </c>
      <c r="L14" s="253">
        <v>770</v>
      </c>
      <c r="M14" s="199" t="s">
        <v>557</v>
      </c>
      <c r="N14" s="253">
        <v>291</v>
      </c>
    </row>
    <row r="15" spans="1:14">
      <c r="A15" s="11" t="s">
        <v>45</v>
      </c>
      <c r="C15" s="11" t="s">
        <v>46</v>
      </c>
      <c r="D15" s="253">
        <v>6388</v>
      </c>
      <c r="E15" s="11" t="s">
        <v>47</v>
      </c>
      <c r="F15" s="253">
        <v>458</v>
      </c>
      <c r="G15" s="11" t="s">
        <v>48</v>
      </c>
      <c r="H15" s="253">
        <v>647</v>
      </c>
      <c r="I15" s="11" t="s">
        <v>77</v>
      </c>
      <c r="J15" s="253">
        <v>7493</v>
      </c>
    </row>
    <row r="16" spans="1:14">
      <c r="A16" s="11"/>
      <c r="C16" s="11" t="s">
        <v>49</v>
      </c>
      <c r="D16" s="253">
        <v>6291</v>
      </c>
      <c r="E16" s="11" t="s">
        <v>50</v>
      </c>
      <c r="F16" s="253">
        <v>471</v>
      </c>
      <c r="G16" s="11" t="s">
        <v>162</v>
      </c>
      <c r="H16" s="253">
        <v>714</v>
      </c>
      <c r="I16" s="11" t="s">
        <v>76</v>
      </c>
      <c r="J16" s="253">
        <v>7476</v>
      </c>
    </row>
    <row r="19" spans="1:14">
      <c r="A19" s="11"/>
    </row>
    <row r="20" spans="1:14">
      <c r="A20" s="200" t="s">
        <v>52</v>
      </c>
    </row>
    <row r="21" spans="1:14">
      <c r="A21" s="603" t="s">
        <v>53</v>
      </c>
      <c r="B21" s="603" t="s">
        <v>54</v>
      </c>
      <c r="C21" s="603" t="s">
        <v>55</v>
      </c>
      <c r="D21" s="603" t="s">
        <v>73</v>
      </c>
      <c r="E21" s="603" t="s">
        <v>126</v>
      </c>
      <c r="F21" s="604" t="s">
        <v>558</v>
      </c>
      <c r="G21" s="604"/>
      <c r="H21" s="604"/>
      <c r="I21" s="604"/>
      <c r="J21" s="604"/>
      <c r="K21" s="604"/>
      <c r="L21" s="604"/>
      <c r="M21" s="604"/>
      <c r="N21" s="604"/>
    </row>
    <row r="22" spans="1:14">
      <c r="A22" s="603"/>
      <c r="B22" s="603"/>
      <c r="C22" s="603"/>
      <c r="D22" s="603"/>
      <c r="E22" s="603"/>
      <c r="F22" s="213" t="s">
        <v>57</v>
      </c>
      <c r="G22" s="213" t="s">
        <v>58</v>
      </c>
      <c r="H22" s="213" t="s">
        <v>59</v>
      </c>
      <c r="I22" s="213" t="s">
        <v>60</v>
      </c>
      <c r="J22" s="213" t="s">
        <v>61</v>
      </c>
      <c r="K22" s="213" t="s">
        <v>62</v>
      </c>
      <c r="L22" s="213" t="s">
        <v>63</v>
      </c>
      <c r="M22" s="413" t="s">
        <v>64</v>
      </c>
      <c r="N22" s="413" t="s">
        <v>65</v>
      </c>
    </row>
    <row r="23" spans="1:14" ht="22.5">
      <c r="A23" s="201" t="s">
        <v>370</v>
      </c>
      <c r="B23" s="201">
        <v>500</v>
      </c>
      <c r="C23" s="202" t="s">
        <v>559</v>
      </c>
      <c r="D23" s="203">
        <f>B23*J4/100000</f>
        <v>26.29365</v>
      </c>
      <c r="E23" s="415">
        <v>25</v>
      </c>
      <c r="F23" s="415">
        <v>0</v>
      </c>
      <c r="G23" s="415">
        <v>5.12</v>
      </c>
      <c r="H23" s="415">
        <v>7.48</v>
      </c>
      <c r="I23" s="415">
        <v>1.05</v>
      </c>
      <c r="J23" s="415">
        <v>1.97</v>
      </c>
      <c r="K23" s="415">
        <v>7.2910000000000004</v>
      </c>
      <c r="L23" s="415">
        <v>0.35886000000000001</v>
      </c>
      <c r="M23" s="415">
        <f>SUM(F23:L23)</f>
        <v>23.269860000000001</v>
      </c>
      <c r="N23" s="416">
        <f>M23/E23*100</f>
        <v>93.079440000000005</v>
      </c>
    </row>
    <row r="24" spans="1:14">
      <c r="A24" s="201" t="s">
        <v>338</v>
      </c>
      <c r="B24" s="201">
        <v>360</v>
      </c>
      <c r="C24" s="202" t="s">
        <v>559</v>
      </c>
      <c r="D24" s="203">
        <f>B24*J4/100000</f>
        <v>18.931427999999997</v>
      </c>
      <c r="E24" s="415">
        <v>16.783999999999999</v>
      </c>
      <c r="F24" s="415">
        <v>0</v>
      </c>
      <c r="G24" s="415">
        <v>1.39</v>
      </c>
      <c r="H24" s="415">
        <v>3.81</v>
      </c>
      <c r="I24" s="415">
        <v>1.99</v>
      </c>
      <c r="J24" s="415">
        <v>4.1900000000000004</v>
      </c>
      <c r="K24" s="415">
        <v>5.6744000000000003</v>
      </c>
      <c r="L24" s="415">
        <v>1.16255</v>
      </c>
      <c r="M24" s="415">
        <f t="shared" ref="M24:M30" si="0">SUM(F24:L24)</f>
        <v>18.216950000000001</v>
      </c>
      <c r="N24" s="416">
        <f t="shared" ref="N24:N31" si="1">M24/E24*100</f>
        <v>108.53759532888468</v>
      </c>
    </row>
    <row r="25" spans="1:14" ht="22.5">
      <c r="A25" s="201" t="s">
        <v>321</v>
      </c>
      <c r="B25" s="201">
        <v>8.4</v>
      </c>
      <c r="C25" s="202" t="s">
        <v>560</v>
      </c>
      <c r="D25" s="203">
        <v>58.8</v>
      </c>
      <c r="E25" s="415">
        <v>19.329999999999998</v>
      </c>
      <c r="F25" s="415">
        <v>0</v>
      </c>
      <c r="G25" s="415">
        <v>3.5</v>
      </c>
      <c r="H25" s="415">
        <v>2.0499999999999998</v>
      </c>
      <c r="I25" s="415">
        <v>3.4</v>
      </c>
      <c r="J25" s="415">
        <v>4.62</v>
      </c>
      <c r="K25" s="415">
        <v>3.77</v>
      </c>
      <c r="L25" s="415">
        <v>2.89</v>
      </c>
      <c r="M25" s="415">
        <f t="shared" si="0"/>
        <v>20.23</v>
      </c>
      <c r="N25" s="416">
        <f t="shared" si="1"/>
        <v>104.65597516813246</v>
      </c>
    </row>
    <row r="26" spans="1:14" ht="22.5">
      <c r="A26" s="201" t="s">
        <v>561</v>
      </c>
      <c r="B26" s="201">
        <v>0.84</v>
      </c>
      <c r="C26" s="202" t="s">
        <v>560</v>
      </c>
      <c r="D26" s="203">
        <v>5.88</v>
      </c>
      <c r="E26" s="415">
        <v>5.6375000000000011</v>
      </c>
      <c r="F26" s="415">
        <v>0</v>
      </c>
      <c r="G26" s="415">
        <v>0.62</v>
      </c>
      <c r="H26" s="415">
        <v>0.54</v>
      </c>
      <c r="I26" s="415">
        <v>1.36</v>
      </c>
      <c r="J26" s="415">
        <v>0.73750000000000004</v>
      </c>
      <c r="K26" s="415">
        <v>1.32</v>
      </c>
      <c r="L26" s="415">
        <v>1.06</v>
      </c>
      <c r="M26" s="415">
        <f t="shared" si="0"/>
        <v>5.6375000000000011</v>
      </c>
      <c r="N26" s="416">
        <f t="shared" si="1"/>
        <v>100</v>
      </c>
    </row>
    <row r="27" spans="1:14" ht="22.5">
      <c r="A27" s="201" t="s">
        <v>322</v>
      </c>
      <c r="B27" s="201">
        <v>3.6</v>
      </c>
      <c r="C27" s="202" t="s">
        <v>560</v>
      </c>
      <c r="D27" s="203">
        <v>25.2</v>
      </c>
      <c r="E27" s="415">
        <v>7.74</v>
      </c>
      <c r="F27" s="415">
        <v>0</v>
      </c>
      <c r="G27" s="415">
        <v>0</v>
      </c>
      <c r="H27" s="415">
        <v>0</v>
      </c>
      <c r="I27" s="415">
        <v>2.1800000000000002</v>
      </c>
      <c r="J27" s="415">
        <v>1.56</v>
      </c>
      <c r="K27" s="415">
        <v>2.2000000000000002</v>
      </c>
      <c r="L27" s="415">
        <v>1.8</v>
      </c>
      <c r="M27" s="415">
        <f t="shared" si="0"/>
        <v>7.74</v>
      </c>
      <c r="N27" s="416">
        <f t="shared" si="1"/>
        <v>100</v>
      </c>
    </row>
    <row r="28" spans="1:14" ht="22.5">
      <c r="A28" s="201" t="s">
        <v>305</v>
      </c>
      <c r="B28" s="201">
        <v>0.24</v>
      </c>
      <c r="C28" s="202" t="s">
        <v>560</v>
      </c>
      <c r="D28" s="203">
        <v>1.68</v>
      </c>
      <c r="E28" s="415">
        <v>1.1600000000000001</v>
      </c>
      <c r="F28" s="415">
        <v>0</v>
      </c>
      <c r="G28" s="415">
        <v>0</v>
      </c>
      <c r="H28" s="415">
        <v>0</v>
      </c>
      <c r="I28" s="415">
        <v>0.24</v>
      </c>
      <c r="J28" s="415">
        <v>0.22</v>
      </c>
      <c r="K28" s="415">
        <v>0.34</v>
      </c>
      <c r="L28" s="415">
        <v>0.36</v>
      </c>
      <c r="M28" s="415">
        <f t="shared" si="0"/>
        <v>1.1600000000000001</v>
      </c>
      <c r="N28" s="416">
        <f t="shared" si="1"/>
        <v>100</v>
      </c>
    </row>
    <row r="29" spans="1:14" ht="22.5">
      <c r="A29" s="201" t="s">
        <v>306</v>
      </c>
      <c r="B29" s="201">
        <v>0.24</v>
      </c>
      <c r="C29" s="202" t="s">
        <v>560</v>
      </c>
      <c r="D29" s="203">
        <v>1.68</v>
      </c>
      <c r="E29" s="415">
        <v>1.90265</v>
      </c>
      <c r="F29" s="415">
        <v>0</v>
      </c>
      <c r="G29" s="415">
        <v>0.31264999999999998</v>
      </c>
      <c r="H29" s="415">
        <v>0.48</v>
      </c>
      <c r="I29" s="415">
        <v>0.36</v>
      </c>
      <c r="J29" s="415">
        <v>0.33</v>
      </c>
      <c r="K29" s="415">
        <v>0.22</v>
      </c>
      <c r="L29" s="415">
        <v>0.2</v>
      </c>
      <c r="M29" s="415">
        <f t="shared" si="0"/>
        <v>1.90265</v>
      </c>
      <c r="N29" s="416">
        <f t="shared" si="1"/>
        <v>100</v>
      </c>
    </row>
    <row r="30" spans="1:14">
      <c r="A30" s="201" t="s">
        <v>113</v>
      </c>
      <c r="B30" s="201">
        <v>0.2</v>
      </c>
      <c r="C30" s="202" t="s">
        <v>68</v>
      </c>
      <c r="D30" s="203">
        <v>0.2</v>
      </c>
      <c r="E30" s="415">
        <v>0.215</v>
      </c>
      <c r="F30" s="415">
        <v>0</v>
      </c>
      <c r="G30" s="415">
        <v>0</v>
      </c>
      <c r="H30" s="415">
        <v>0</v>
      </c>
      <c r="I30" s="415">
        <v>0.215</v>
      </c>
      <c r="J30" s="415">
        <v>0</v>
      </c>
      <c r="K30" s="415">
        <v>0</v>
      </c>
      <c r="L30" s="415">
        <v>0</v>
      </c>
      <c r="M30" s="415">
        <f t="shared" si="0"/>
        <v>0.215</v>
      </c>
      <c r="N30" s="416">
        <f t="shared" si="1"/>
        <v>100</v>
      </c>
    </row>
    <row r="31" spans="1:14">
      <c r="A31" s="412" t="s">
        <v>69</v>
      </c>
      <c r="B31" s="412"/>
      <c r="C31" s="413"/>
      <c r="D31" s="204">
        <f>SUM(D23:D30)</f>
        <v>138.66507799999999</v>
      </c>
      <c r="E31" s="204">
        <f t="shared" ref="E31:M31" si="2">SUM(E23:E30)</f>
        <v>77.769149999999982</v>
      </c>
      <c r="F31" s="204">
        <f t="shared" si="2"/>
        <v>0</v>
      </c>
      <c r="G31" s="204">
        <f t="shared" si="2"/>
        <v>10.942649999999999</v>
      </c>
      <c r="H31" s="204">
        <f t="shared" si="2"/>
        <v>14.36</v>
      </c>
      <c r="I31" s="204">
        <f t="shared" si="2"/>
        <v>10.795</v>
      </c>
      <c r="J31" s="204">
        <f t="shared" si="2"/>
        <v>13.627500000000003</v>
      </c>
      <c r="K31" s="204">
        <f t="shared" si="2"/>
        <v>20.8154</v>
      </c>
      <c r="L31" s="204">
        <f t="shared" si="2"/>
        <v>7.8314100000000009</v>
      </c>
      <c r="M31" s="204">
        <f t="shared" si="2"/>
        <v>78.371960000000001</v>
      </c>
      <c r="N31" s="416">
        <f t="shared" si="1"/>
        <v>100.77512741234797</v>
      </c>
    </row>
    <row r="33" spans="5:12">
      <c r="J33" s="3"/>
    </row>
    <row r="34" spans="5:12">
      <c r="E34" s="3"/>
      <c r="G34" s="3"/>
      <c r="H34" s="3"/>
      <c r="I34" s="3"/>
      <c r="J34" s="3"/>
      <c r="K34" s="3"/>
      <c r="L34" s="3"/>
    </row>
  </sheetData>
  <mergeCells count="17">
    <mergeCell ref="A8:A9"/>
    <mergeCell ref="B8:C9"/>
    <mergeCell ref="F8:I9"/>
    <mergeCell ref="A21:A22"/>
    <mergeCell ref="B21:B22"/>
    <mergeCell ref="C21:C22"/>
    <mergeCell ref="D21:D22"/>
    <mergeCell ref="E21:E22"/>
    <mergeCell ref="F21:N21"/>
    <mergeCell ref="B6:C6"/>
    <mergeCell ref="F6:G6"/>
    <mergeCell ref="A1:N1"/>
    <mergeCell ref="A2:N2"/>
    <mergeCell ref="B4:C4"/>
    <mergeCell ref="F4:G4"/>
    <mergeCell ref="H4:I4"/>
    <mergeCell ref="A3:C3"/>
  </mergeCells>
  <hyperlinks>
    <hyperlink ref="A3" location="'Fact Sheet of VDC'!A1" display="&lt;&lt;Back"/>
  </hyperlinks>
  <printOptions horizontalCentered="1" verticalCentered="1"/>
  <pageMargins left="0.35433070866141736" right="0.19685039370078741" top="0.43307086614173229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workbookViewId="0">
      <selection activeCell="A3" sqref="A3:C3"/>
    </sheetView>
  </sheetViews>
  <sheetFormatPr defaultRowHeight="15"/>
  <cols>
    <col min="1" max="1" width="32.85546875" style="248" customWidth="1"/>
    <col min="2" max="2" width="7.5703125" style="248" customWidth="1"/>
    <col min="3" max="4" width="9.140625" style="248"/>
    <col min="5" max="5" width="8.5703125" style="248" customWidth="1"/>
    <col min="6" max="6" width="8.140625" style="248" customWidth="1"/>
    <col min="7" max="7" width="12" style="248" customWidth="1"/>
    <col min="8" max="8" width="6.7109375" style="248" customWidth="1"/>
    <col min="9" max="9" width="9.7109375" style="248" bestFit="1" customWidth="1"/>
    <col min="10" max="10" width="7" style="248" customWidth="1"/>
    <col min="11" max="11" width="8.140625" style="248" customWidth="1"/>
    <col min="12" max="12" width="7.5703125" style="248" customWidth="1"/>
    <col min="13" max="13" width="9.5703125" style="248" customWidth="1"/>
    <col min="14" max="16384" width="9.140625" style="248"/>
  </cols>
  <sheetData>
    <row r="1" spans="1:14">
      <c r="A1" s="615" t="s">
        <v>31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14">
      <c r="A2" s="615" t="s">
        <v>574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14">
      <c r="A3" s="489" t="s">
        <v>585</v>
      </c>
      <c r="B3" s="489"/>
      <c r="C3" s="489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</row>
    <row r="4" spans="1:14">
      <c r="A4" s="206" t="s">
        <v>309</v>
      </c>
      <c r="B4" s="613" t="s">
        <v>575</v>
      </c>
      <c r="C4" s="614"/>
      <c r="D4" s="206" t="s">
        <v>548</v>
      </c>
      <c r="E4" s="205"/>
      <c r="F4" s="613">
        <v>10</v>
      </c>
      <c r="G4" s="614"/>
      <c r="H4" s="616" t="s">
        <v>4</v>
      </c>
      <c r="I4" s="617"/>
      <c r="J4" s="207">
        <v>5121.93</v>
      </c>
      <c r="K4" s="206" t="s">
        <v>86</v>
      </c>
      <c r="L4" s="205"/>
      <c r="M4" s="207">
        <v>800</v>
      </c>
      <c r="N4" s="205"/>
    </row>
    <row r="5" spans="1:14">
      <c r="A5" s="206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4">
      <c r="A6" s="206" t="s">
        <v>549</v>
      </c>
      <c r="B6" s="613" t="s">
        <v>674</v>
      </c>
      <c r="C6" s="614"/>
      <c r="D6" s="206" t="s">
        <v>280</v>
      </c>
      <c r="E6" s="205"/>
      <c r="F6" s="613" t="s">
        <v>550</v>
      </c>
      <c r="G6" s="614"/>
      <c r="H6" s="205"/>
      <c r="I6" s="205"/>
      <c r="J6" s="205"/>
      <c r="K6" s="205"/>
      <c r="L6" s="205"/>
      <c r="M6" s="205"/>
      <c r="N6" s="205"/>
    </row>
    <row r="7" spans="1:14">
      <c r="A7" s="206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</row>
    <row r="8" spans="1:14">
      <c r="A8" s="618" t="s">
        <v>551</v>
      </c>
      <c r="B8" s="619" t="s">
        <v>552</v>
      </c>
      <c r="C8" s="620"/>
      <c r="D8" s="205"/>
      <c r="E8" s="205"/>
      <c r="F8" s="619" t="s">
        <v>675</v>
      </c>
      <c r="G8" s="623"/>
      <c r="H8" s="623"/>
      <c r="I8" s="620"/>
      <c r="J8" s="205"/>
      <c r="K8" s="205"/>
      <c r="L8" s="205"/>
      <c r="M8" s="205"/>
      <c r="N8" s="205"/>
    </row>
    <row r="9" spans="1:14" ht="21" customHeight="1">
      <c r="A9" s="618"/>
      <c r="B9" s="621"/>
      <c r="C9" s="622"/>
      <c r="D9" s="205"/>
      <c r="E9" s="205"/>
      <c r="F9" s="621"/>
      <c r="G9" s="624"/>
      <c r="H9" s="624"/>
      <c r="I9" s="622"/>
      <c r="J9" s="205"/>
      <c r="K9" s="205"/>
      <c r="L9" s="205"/>
      <c r="M9" s="205"/>
      <c r="N9" s="205"/>
    </row>
    <row r="10" spans="1:14">
      <c r="A10" s="206"/>
      <c r="B10" s="208"/>
      <c r="C10" s="208"/>
      <c r="D10" s="205"/>
      <c r="E10" s="205"/>
      <c r="F10" s="208"/>
      <c r="G10" s="208"/>
      <c r="H10" s="208"/>
      <c r="I10" s="208"/>
      <c r="J10" s="205"/>
      <c r="K10" s="205"/>
      <c r="L10" s="205"/>
      <c r="M10" s="205"/>
      <c r="N10" s="205"/>
    </row>
    <row r="11" spans="1:14">
      <c r="A11" s="206" t="s">
        <v>554</v>
      </c>
      <c r="B11" s="209">
        <v>26</v>
      </c>
      <c r="C11" s="208" t="s">
        <v>555</v>
      </c>
      <c r="D11" s="205"/>
      <c r="E11" s="205"/>
      <c r="F11" s="209">
        <v>34</v>
      </c>
      <c r="G11" s="208" t="s">
        <v>556</v>
      </c>
      <c r="H11" s="209">
        <v>155</v>
      </c>
      <c r="I11" s="208" t="s">
        <v>160</v>
      </c>
      <c r="J11" s="210">
        <v>23</v>
      </c>
      <c r="K11" s="208" t="s">
        <v>161</v>
      </c>
      <c r="L11" s="210">
        <v>538</v>
      </c>
      <c r="M11" s="205"/>
      <c r="N11" s="205"/>
    </row>
    <row r="12" spans="1:14">
      <c r="A12" s="206"/>
      <c r="B12" s="208"/>
      <c r="C12" s="208"/>
      <c r="D12" s="205"/>
      <c r="E12" s="205"/>
      <c r="F12" s="208"/>
      <c r="G12" s="208"/>
      <c r="H12" s="208"/>
      <c r="I12" s="208"/>
      <c r="J12" s="205"/>
      <c r="K12" s="205"/>
      <c r="L12" s="205"/>
      <c r="M12" s="205"/>
      <c r="N12" s="205"/>
    </row>
    <row r="13" spans="1:14" ht="23.25" customHeight="1">
      <c r="A13" s="206" t="s">
        <v>96</v>
      </c>
      <c r="B13" s="205"/>
      <c r="C13" s="206" t="s">
        <v>40</v>
      </c>
      <c r="D13" s="210">
        <v>1781</v>
      </c>
      <c r="E13" s="206" t="s">
        <v>41</v>
      </c>
      <c r="F13" s="210">
        <v>296</v>
      </c>
      <c r="G13" s="206" t="s">
        <v>42</v>
      </c>
      <c r="H13" s="210">
        <v>94</v>
      </c>
      <c r="I13" s="206" t="s">
        <v>64</v>
      </c>
      <c r="J13" s="210">
        <v>2171</v>
      </c>
      <c r="K13" s="206" t="s">
        <v>43</v>
      </c>
      <c r="L13" s="210">
        <v>729</v>
      </c>
      <c r="M13" s="211" t="s">
        <v>557</v>
      </c>
      <c r="N13" s="210">
        <v>295</v>
      </c>
    </row>
    <row r="14" spans="1:14">
      <c r="A14" s="206" t="s">
        <v>45</v>
      </c>
      <c r="B14" s="205"/>
      <c r="C14" s="206" t="s">
        <v>46</v>
      </c>
      <c r="D14" s="210">
        <v>3685</v>
      </c>
      <c r="E14" s="206" t="s">
        <v>47</v>
      </c>
      <c r="F14" s="210">
        <v>630</v>
      </c>
      <c r="G14" s="206" t="s">
        <v>48</v>
      </c>
      <c r="H14" s="210">
        <v>203</v>
      </c>
      <c r="I14" s="206" t="s">
        <v>77</v>
      </c>
      <c r="J14" s="210">
        <v>4518</v>
      </c>
      <c r="K14" s="205"/>
      <c r="L14" s="205"/>
      <c r="M14" s="205"/>
      <c r="N14" s="205"/>
    </row>
    <row r="15" spans="1:14">
      <c r="A15" s="206"/>
      <c r="B15" s="205"/>
      <c r="C15" s="206" t="s">
        <v>49</v>
      </c>
      <c r="D15" s="210">
        <v>3860</v>
      </c>
      <c r="E15" s="206" t="s">
        <v>50</v>
      </c>
      <c r="F15" s="210">
        <v>611</v>
      </c>
      <c r="G15" s="206" t="s">
        <v>162</v>
      </c>
      <c r="H15" s="210">
        <v>206</v>
      </c>
      <c r="I15" s="206" t="s">
        <v>76</v>
      </c>
      <c r="J15" s="210">
        <v>4677</v>
      </c>
      <c r="K15" s="205"/>
      <c r="L15" s="205"/>
      <c r="M15" s="205"/>
      <c r="N15" s="205"/>
    </row>
    <row r="16" spans="1:14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</row>
    <row r="17" spans="1:14">
      <c r="A17" s="212" t="s">
        <v>52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</row>
    <row r="18" spans="1:14">
      <c r="A18" s="625" t="s">
        <v>53</v>
      </c>
      <c r="B18" s="625" t="s">
        <v>54</v>
      </c>
      <c r="C18" s="625" t="s">
        <v>55</v>
      </c>
      <c r="D18" s="625" t="s">
        <v>73</v>
      </c>
      <c r="E18" s="625" t="s">
        <v>126</v>
      </c>
      <c r="F18" s="627" t="s">
        <v>558</v>
      </c>
      <c r="G18" s="628"/>
      <c r="H18" s="628"/>
      <c r="I18" s="628"/>
      <c r="J18" s="628"/>
      <c r="K18" s="628"/>
      <c r="L18" s="628"/>
      <c r="M18" s="628"/>
      <c r="N18" s="629"/>
    </row>
    <row r="19" spans="1:14">
      <c r="A19" s="626"/>
      <c r="B19" s="626"/>
      <c r="C19" s="626"/>
      <c r="D19" s="626"/>
      <c r="E19" s="626"/>
      <c r="F19" s="213" t="s">
        <v>57</v>
      </c>
      <c r="G19" s="213" t="s">
        <v>58</v>
      </c>
      <c r="H19" s="213" t="s">
        <v>59</v>
      </c>
      <c r="I19" s="213" t="s">
        <v>60</v>
      </c>
      <c r="J19" s="213" t="s">
        <v>61</v>
      </c>
      <c r="K19" s="213" t="s">
        <v>62</v>
      </c>
      <c r="L19" s="213" t="s">
        <v>63</v>
      </c>
      <c r="M19" s="213" t="s">
        <v>64</v>
      </c>
      <c r="N19" s="213" t="s">
        <v>65</v>
      </c>
    </row>
    <row r="20" spans="1:14">
      <c r="A20" s="214" t="s">
        <v>370</v>
      </c>
      <c r="B20" s="214">
        <v>500</v>
      </c>
      <c r="C20" s="215" t="s">
        <v>559</v>
      </c>
      <c r="D20" s="216">
        <f>B20*J4/100000</f>
        <v>25.609649999999998</v>
      </c>
      <c r="E20" s="217">
        <v>25.952809999999999</v>
      </c>
      <c r="F20" s="217">
        <v>0</v>
      </c>
      <c r="G20" s="217">
        <v>5.54</v>
      </c>
      <c r="H20" s="217">
        <v>5.1669999999999998</v>
      </c>
      <c r="I20" s="217">
        <v>3.55</v>
      </c>
      <c r="J20" s="217">
        <v>5.82</v>
      </c>
      <c r="K20" s="217">
        <v>3.0522499999999999</v>
      </c>
      <c r="L20" s="217">
        <v>4.6922699999999997</v>
      </c>
      <c r="M20" s="217">
        <f>SUM(F20:L20)</f>
        <v>27.821520000000003</v>
      </c>
      <c r="N20" s="417">
        <f>M20/E20*100</f>
        <v>107.2004149069022</v>
      </c>
    </row>
    <row r="21" spans="1:14">
      <c r="A21" s="214" t="s">
        <v>338</v>
      </c>
      <c r="B21" s="214">
        <v>360</v>
      </c>
      <c r="C21" s="215" t="s">
        <v>559</v>
      </c>
      <c r="D21" s="216">
        <f>B21*J4/100000</f>
        <v>18.438948</v>
      </c>
      <c r="E21" s="217">
        <v>18.015499999999999</v>
      </c>
      <c r="F21" s="217">
        <v>0</v>
      </c>
      <c r="G21" s="217">
        <v>1.61</v>
      </c>
      <c r="H21" s="217">
        <v>5.45</v>
      </c>
      <c r="I21" s="217">
        <v>4.0999999999999996</v>
      </c>
      <c r="J21" s="217">
        <v>2.4300000000000002</v>
      </c>
      <c r="K21" s="217">
        <v>0.87558000000000002</v>
      </c>
      <c r="L21" s="217">
        <v>1.0830500000000001</v>
      </c>
      <c r="M21" s="217">
        <f t="shared" ref="M21:M27" si="0">SUM(F21:L21)</f>
        <v>15.548629999999999</v>
      </c>
      <c r="N21" s="417">
        <f t="shared" ref="N21:N28" si="1">M21/E21*100</f>
        <v>86.306957897366161</v>
      </c>
    </row>
    <row r="22" spans="1:14" ht="22.5">
      <c r="A22" s="214" t="s">
        <v>321</v>
      </c>
      <c r="B22" s="214">
        <v>8.4</v>
      </c>
      <c r="C22" s="215" t="s">
        <v>560</v>
      </c>
      <c r="D22" s="216">
        <v>58.8</v>
      </c>
      <c r="E22" s="217">
        <v>18.37</v>
      </c>
      <c r="F22" s="217">
        <v>0</v>
      </c>
      <c r="G22" s="217">
        <v>3.74</v>
      </c>
      <c r="H22" s="217">
        <v>2.4</v>
      </c>
      <c r="I22" s="217">
        <v>2.51484</v>
      </c>
      <c r="J22" s="217">
        <v>3.1953900000000002</v>
      </c>
      <c r="K22" s="217">
        <v>3.1</v>
      </c>
      <c r="L22" s="217">
        <v>3.05</v>
      </c>
      <c r="M22" s="217">
        <f t="shared" si="0"/>
        <v>18.000229999999998</v>
      </c>
      <c r="N22" s="417">
        <f t="shared" si="1"/>
        <v>97.987098530212293</v>
      </c>
    </row>
    <row r="23" spans="1:14" ht="22.5">
      <c r="A23" s="214" t="s">
        <v>561</v>
      </c>
      <c r="B23" s="214">
        <v>0.84</v>
      </c>
      <c r="C23" s="215" t="s">
        <v>560</v>
      </c>
      <c r="D23" s="216">
        <v>5.88</v>
      </c>
      <c r="E23" s="217">
        <v>5.5145</v>
      </c>
      <c r="F23" s="217">
        <v>0</v>
      </c>
      <c r="G23" s="217">
        <v>0.76</v>
      </c>
      <c r="H23" s="217">
        <v>0.36</v>
      </c>
      <c r="I23" s="217">
        <v>0.71450000000000002</v>
      </c>
      <c r="J23" s="217">
        <v>1.1000000000000001</v>
      </c>
      <c r="K23" s="217">
        <v>1.32</v>
      </c>
      <c r="L23" s="217">
        <v>1.26</v>
      </c>
      <c r="M23" s="217">
        <f t="shared" si="0"/>
        <v>5.5145</v>
      </c>
      <c r="N23" s="417">
        <f t="shared" si="1"/>
        <v>100</v>
      </c>
    </row>
    <row r="24" spans="1:14" ht="22.5">
      <c r="A24" s="214" t="s">
        <v>322</v>
      </c>
      <c r="B24" s="214">
        <v>3.6</v>
      </c>
      <c r="C24" s="215" t="s">
        <v>560</v>
      </c>
      <c r="D24" s="216">
        <v>25.2</v>
      </c>
      <c r="E24" s="217">
        <v>9.048</v>
      </c>
      <c r="F24" s="217">
        <v>0</v>
      </c>
      <c r="G24" s="217">
        <v>0</v>
      </c>
      <c r="H24" s="217">
        <v>0</v>
      </c>
      <c r="I24" s="217">
        <v>2.1680000000000001</v>
      </c>
      <c r="J24" s="217">
        <v>2.4</v>
      </c>
      <c r="K24" s="217">
        <v>2.2000000000000002</v>
      </c>
      <c r="L24" s="217">
        <v>2.2799999999999998</v>
      </c>
      <c r="M24" s="217">
        <f t="shared" si="0"/>
        <v>9.048</v>
      </c>
      <c r="N24" s="417">
        <f t="shared" si="1"/>
        <v>100</v>
      </c>
    </row>
    <row r="25" spans="1:14" ht="22.5">
      <c r="A25" s="214" t="s">
        <v>305</v>
      </c>
      <c r="B25" s="214">
        <v>0.24</v>
      </c>
      <c r="C25" s="215" t="s">
        <v>560</v>
      </c>
      <c r="D25" s="216">
        <v>1.68</v>
      </c>
      <c r="E25" s="217">
        <v>0.91632000000000002</v>
      </c>
      <c r="F25" s="217">
        <v>0</v>
      </c>
      <c r="G25" s="217">
        <v>0</v>
      </c>
      <c r="H25" s="217">
        <v>0</v>
      </c>
      <c r="I25" s="217">
        <v>0.23632</v>
      </c>
      <c r="J25" s="217">
        <v>0.24</v>
      </c>
      <c r="K25" s="217">
        <v>0.24</v>
      </c>
      <c r="L25" s="217">
        <v>0.2</v>
      </c>
      <c r="M25" s="217">
        <f t="shared" si="0"/>
        <v>0.91632000000000002</v>
      </c>
      <c r="N25" s="417">
        <f t="shared" si="1"/>
        <v>100</v>
      </c>
    </row>
    <row r="26" spans="1:14" ht="22.5">
      <c r="A26" s="214" t="s">
        <v>306</v>
      </c>
      <c r="B26" s="214">
        <v>0.24</v>
      </c>
      <c r="C26" s="215" t="s">
        <v>560</v>
      </c>
      <c r="D26" s="216">
        <v>1.68</v>
      </c>
      <c r="E26" s="217">
        <v>1.8</v>
      </c>
      <c r="F26" s="217">
        <v>0</v>
      </c>
      <c r="G26" s="217">
        <v>0.35</v>
      </c>
      <c r="H26" s="217">
        <v>0.39</v>
      </c>
      <c r="I26" s="217">
        <v>0.70435000000000003</v>
      </c>
      <c r="J26" s="217">
        <v>0.48</v>
      </c>
      <c r="K26" s="217">
        <v>0.41</v>
      </c>
      <c r="L26" s="217">
        <v>0.22</v>
      </c>
      <c r="M26" s="217">
        <f t="shared" si="0"/>
        <v>2.5543500000000003</v>
      </c>
      <c r="N26" s="417">
        <f t="shared" si="1"/>
        <v>141.90833333333336</v>
      </c>
    </row>
    <row r="27" spans="1:14">
      <c r="A27" s="214" t="s">
        <v>113</v>
      </c>
      <c r="B27" s="214">
        <v>0.2</v>
      </c>
      <c r="C27" s="215" t="s">
        <v>68</v>
      </c>
      <c r="D27" s="216">
        <v>0.2</v>
      </c>
      <c r="E27" s="217">
        <v>0.2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0.2</v>
      </c>
      <c r="L27" s="217">
        <v>0</v>
      </c>
      <c r="M27" s="217">
        <f t="shared" si="0"/>
        <v>0.2</v>
      </c>
      <c r="N27" s="417">
        <f t="shared" si="1"/>
        <v>100</v>
      </c>
    </row>
    <row r="28" spans="1:14">
      <c r="A28" s="218" t="s">
        <v>69</v>
      </c>
      <c r="B28" s="218"/>
      <c r="C28" s="213"/>
      <c r="D28" s="219">
        <f>SUM(D20:D27)</f>
        <v>137.488598</v>
      </c>
      <c r="E28" s="219">
        <f>SUM(E20:E27)</f>
        <v>79.817130000000006</v>
      </c>
      <c r="F28" s="219">
        <f t="shared" ref="F28:M28" si="2">SUM(F20:F27)</f>
        <v>0</v>
      </c>
      <c r="G28" s="219">
        <f t="shared" si="2"/>
        <v>12</v>
      </c>
      <c r="H28" s="219">
        <f t="shared" si="2"/>
        <v>13.767000000000001</v>
      </c>
      <c r="I28" s="219">
        <f t="shared" si="2"/>
        <v>13.988009999999997</v>
      </c>
      <c r="J28" s="219">
        <f t="shared" si="2"/>
        <v>15.66539</v>
      </c>
      <c r="K28" s="219">
        <f t="shared" si="2"/>
        <v>11.397830000000001</v>
      </c>
      <c r="L28" s="219">
        <f t="shared" si="2"/>
        <v>12.785319999999999</v>
      </c>
      <c r="M28" s="219">
        <f t="shared" si="2"/>
        <v>79.603549999999998</v>
      </c>
      <c r="N28" s="417">
        <f t="shared" si="1"/>
        <v>99.732413330321435</v>
      </c>
    </row>
    <row r="30" spans="1:14">
      <c r="E30" s="418"/>
      <c r="J30" s="3"/>
    </row>
    <row r="31" spans="1:14">
      <c r="E31" s="3"/>
      <c r="G31" s="3"/>
      <c r="H31" s="3"/>
      <c r="I31" s="3"/>
      <c r="K31" s="3"/>
      <c r="L31" s="3"/>
    </row>
    <row r="32" spans="1:14">
      <c r="J32" s="3"/>
    </row>
  </sheetData>
  <mergeCells count="17">
    <mergeCell ref="A8:A9"/>
    <mergeCell ref="B8:C9"/>
    <mergeCell ref="F8:I9"/>
    <mergeCell ref="A18:A19"/>
    <mergeCell ref="B18:B19"/>
    <mergeCell ref="C18:C19"/>
    <mergeCell ref="D18:D19"/>
    <mergeCell ref="E18:E19"/>
    <mergeCell ref="F18:N18"/>
    <mergeCell ref="B6:C6"/>
    <mergeCell ref="F6:G6"/>
    <mergeCell ref="A1:N1"/>
    <mergeCell ref="A2:N2"/>
    <mergeCell ref="B4:C4"/>
    <mergeCell ref="F4:G4"/>
    <mergeCell ref="H4:I4"/>
    <mergeCell ref="A3:C3"/>
  </mergeCells>
  <hyperlinks>
    <hyperlink ref="A3" location="'Fact Sheet of VDC'!A1" display="&lt;&lt;Back"/>
  </hyperlinks>
  <printOptions horizontalCentered="1" verticalCentered="1"/>
  <pageMargins left="0.43307086614173229" right="0.35433070866141736" top="0.74803149606299213" bottom="0.74803149606299213" header="0.31496062992125984" footer="0.31496062992125984"/>
  <pageSetup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workbookViewId="0">
      <selection activeCell="A3" sqref="A3:C3"/>
    </sheetView>
  </sheetViews>
  <sheetFormatPr defaultRowHeight="15"/>
  <cols>
    <col min="1" max="1" width="32.85546875" style="248" customWidth="1"/>
    <col min="2" max="2" width="9.140625" style="248"/>
    <col min="3" max="3" width="20.85546875" style="248" bestFit="1" customWidth="1"/>
    <col min="4" max="4" width="9.140625" style="248"/>
    <col min="5" max="6" width="7.5703125" style="248" customWidth="1"/>
    <col min="7" max="9" width="9.140625" style="248"/>
    <col min="10" max="10" width="8.140625" style="248" customWidth="1"/>
    <col min="11" max="11" width="7.85546875" style="248" customWidth="1"/>
    <col min="12" max="12" width="7.7109375" style="248" customWidth="1"/>
    <col min="13" max="13" width="9.140625" style="248"/>
    <col min="14" max="14" width="7.5703125" style="248" customWidth="1"/>
    <col min="15" max="16384" width="9.140625" style="248"/>
  </cols>
  <sheetData>
    <row r="1" spans="1:14" ht="15" customHeight="1">
      <c r="A1" s="589" t="s">
        <v>31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</row>
    <row r="2" spans="1:14" ht="15" customHeight="1">
      <c r="A2" s="589" t="s">
        <v>468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</row>
    <row r="3" spans="1:14" ht="15" customHeight="1">
      <c r="A3" s="489" t="s">
        <v>585</v>
      </c>
      <c r="B3" s="489"/>
      <c r="C3" s="489"/>
    </row>
    <row r="4" spans="1:14" ht="15.75" customHeight="1">
      <c r="A4" s="11" t="s">
        <v>309</v>
      </c>
      <c r="B4" s="587" t="s">
        <v>580</v>
      </c>
      <c r="C4" s="588"/>
      <c r="D4" s="11" t="s">
        <v>548</v>
      </c>
      <c r="F4" s="587">
        <v>10</v>
      </c>
      <c r="G4" s="588"/>
      <c r="H4" s="590" t="s">
        <v>4</v>
      </c>
      <c r="I4" s="591"/>
      <c r="J4" s="12">
        <v>4828.0200000000004</v>
      </c>
      <c r="K4" s="11" t="s">
        <v>86</v>
      </c>
      <c r="M4" s="12">
        <v>4189.21</v>
      </c>
    </row>
    <row r="5" spans="1:14" ht="9" customHeight="1">
      <c r="A5" s="11"/>
    </row>
    <row r="6" spans="1:14" ht="21.75" customHeight="1">
      <c r="A6" s="11" t="s">
        <v>549</v>
      </c>
      <c r="B6" s="587" t="s">
        <v>579</v>
      </c>
      <c r="C6" s="588"/>
      <c r="D6" s="11" t="s">
        <v>280</v>
      </c>
      <c r="F6" s="587" t="s">
        <v>578</v>
      </c>
      <c r="G6" s="588"/>
      <c r="H6" s="414"/>
      <c r="I6" s="414"/>
    </row>
    <row r="7" spans="1:14" ht="7.5" customHeight="1">
      <c r="A7" s="11"/>
    </row>
    <row r="8" spans="1:14" ht="21.75" customHeight="1">
      <c r="A8" s="592" t="s">
        <v>551</v>
      </c>
      <c r="B8" s="593" t="s">
        <v>577</v>
      </c>
      <c r="C8" s="594"/>
      <c r="F8" s="593" t="s">
        <v>576</v>
      </c>
      <c r="G8" s="630"/>
      <c r="H8" s="630"/>
      <c r="I8" s="594"/>
    </row>
    <row r="9" spans="1:14" ht="12" customHeight="1">
      <c r="A9" s="592"/>
      <c r="B9" s="595"/>
      <c r="C9" s="596"/>
      <c r="F9" s="595"/>
      <c r="G9" s="631"/>
      <c r="H9" s="631"/>
      <c r="I9" s="596"/>
    </row>
    <row r="10" spans="1:14" ht="9" customHeight="1">
      <c r="A10" s="11"/>
      <c r="B10" s="197"/>
      <c r="C10" s="197"/>
      <c r="F10" s="197"/>
      <c r="G10" s="197"/>
      <c r="H10" s="197"/>
      <c r="I10" s="197"/>
    </row>
    <row r="11" spans="1:14" ht="21.75" customHeight="1">
      <c r="A11" s="11" t="s">
        <v>554</v>
      </c>
      <c r="B11" s="198">
        <v>36</v>
      </c>
      <c r="C11" s="197" t="s">
        <v>555</v>
      </c>
      <c r="F11" s="198">
        <v>35</v>
      </c>
      <c r="G11" s="197" t="s">
        <v>556</v>
      </c>
      <c r="H11" s="198">
        <v>130</v>
      </c>
      <c r="I11" s="197" t="s">
        <v>160</v>
      </c>
      <c r="J11" s="253">
        <v>34</v>
      </c>
      <c r="K11" s="197" t="s">
        <v>161</v>
      </c>
      <c r="L11" s="253">
        <v>257</v>
      </c>
    </row>
    <row r="12" spans="1:14" ht="8.25" customHeight="1">
      <c r="A12" s="11"/>
    </row>
    <row r="13" spans="1:14" ht="21.75" customHeight="1">
      <c r="A13" s="11" t="s">
        <v>96</v>
      </c>
      <c r="C13" s="11" t="s">
        <v>40</v>
      </c>
      <c r="D13" s="253">
        <v>3947</v>
      </c>
      <c r="E13" s="11" t="s">
        <v>41</v>
      </c>
      <c r="F13" s="253">
        <v>290</v>
      </c>
      <c r="G13" s="11" t="s">
        <v>42</v>
      </c>
      <c r="H13" s="253">
        <v>146</v>
      </c>
      <c r="I13" s="11" t="s">
        <v>64</v>
      </c>
      <c r="J13" s="253">
        <v>4383</v>
      </c>
      <c r="K13" s="11" t="s">
        <v>43</v>
      </c>
      <c r="L13" s="253">
        <v>634</v>
      </c>
      <c r="M13" s="199" t="s">
        <v>557</v>
      </c>
      <c r="N13" s="253">
        <v>286</v>
      </c>
    </row>
    <row r="14" spans="1:14" ht="21.75" customHeight="1">
      <c r="A14" s="11" t="s">
        <v>45</v>
      </c>
      <c r="C14" s="11" t="s">
        <v>46</v>
      </c>
      <c r="D14" s="253">
        <v>1970</v>
      </c>
      <c r="E14" s="11" t="s">
        <v>47</v>
      </c>
      <c r="F14" s="253">
        <v>139</v>
      </c>
      <c r="G14" s="11" t="s">
        <v>48</v>
      </c>
      <c r="H14" s="253">
        <v>75</v>
      </c>
      <c r="I14" s="11" t="s">
        <v>77</v>
      </c>
      <c r="J14" s="253">
        <v>2184</v>
      </c>
    </row>
    <row r="15" spans="1:14" ht="21.75" customHeight="1">
      <c r="A15" s="11"/>
      <c r="C15" s="11" t="s">
        <v>49</v>
      </c>
      <c r="D15" s="253">
        <v>1977</v>
      </c>
      <c r="E15" s="11" t="s">
        <v>50</v>
      </c>
      <c r="F15" s="253">
        <v>151</v>
      </c>
      <c r="G15" s="11" t="s">
        <v>162</v>
      </c>
      <c r="H15" s="253">
        <v>71</v>
      </c>
      <c r="I15" s="11" t="s">
        <v>76</v>
      </c>
      <c r="J15" s="253">
        <v>2199</v>
      </c>
    </row>
    <row r="16" spans="1:14" ht="15.75" customHeight="1">
      <c r="A16" s="200" t="s">
        <v>52</v>
      </c>
    </row>
    <row r="17" spans="1:14">
      <c r="A17" s="603" t="s">
        <v>53</v>
      </c>
      <c r="B17" s="603" t="s">
        <v>54</v>
      </c>
      <c r="C17" s="603" t="s">
        <v>55</v>
      </c>
      <c r="D17" s="603" t="s">
        <v>73</v>
      </c>
      <c r="E17" s="603" t="s">
        <v>126</v>
      </c>
      <c r="F17" s="604" t="s">
        <v>558</v>
      </c>
      <c r="G17" s="604"/>
      <c r="H17" s="604"/>
      <c r="I17" s="604"/>
      <c r="J17" s="604"/>
      <c r="K17" s="604"/>
      <c r="L17" s="604"/>
      <c r="M17" s="604"/>
      <c r="N17" s="604"/>
    </row>
    <row r="18" spans="1:14" ht="18.75" customHeight="1">
      <c r="A18" s="603"/>
      <c r="B18" s="603"/>
      <c r="C18" s="603"/>
      <c r="D18" s="603"/>
      <c r="E18" s="603"/>
      <c r="F18" s="413" t="s">
        <v>57</v>
      </c>
      <c r="G18" s="413" t="s">
        <v>58</v>
      </c>
      <c r="H18" s="413" t="s">
        <v>59</v>
      </c>
      <c r="I18" s="419" t="s">
        <v>60</v>
      </c>
      <c r="J18" s="413" t="s">
        <v>61</v>
      </c>
      <c r="K18" s="413" t="s">
        <v>62</v>
      </c>
      <c r="L18" s="413" t="s">
        <v>63</v>
      </c>
      <c r="M18" s="413" t="s">
        <v>64</v>
      </c>
      <c r="N18" s="413" t="s">
        <v>65</v>
      </c>
    </row>
    <row r="19" spans="1:14">
      <c r="A19" s="201" t="s">
        <v>370</v>
      </c>
      <c r="B19" s="201">
        <v>500</v>
      </c>
      <c r="C19" s="202" t="s">
        <v>559</v>
      </c>
      <c r="D19" s="203">
        <f>B19*J4/100000</f>
        <v>24.1401</v>
      </c>
      <c r="E19" s="415">
        <v>24.46</v>
      </c>
      <c r="F19" s="415">
        <v>0</v>
      </c>
      <c r="G19" s="415">
        <f>3.998+2.25</f>
        <v>6.2480000000000002</v>
      </c>
      <c r="H19" s="415">
        <v>4.96</v>
      </c>
      <c r="I19" s="415">
        <v>1.2692399999999999</v>
      </c>
      <c r="J19" s="415">
        <v>7.1461300000000003</v>
      </c>
      <c r="K19" s="415">
        <v>4.6990600000000002</v>
      </c>
      <c r="L19" s="415">
        <v>1.33</v>
      </c>
      <c r="M19" s="415">
        <f>SUM(F19:L19)</f>
        <v>25.652430000000003</v>
      </c>
      <c r="N19" s="416">
        <f>M19/E19*100</f>
        <v>104.8750204415372</v>
      </c>
    </row>
    <row r="20" spans="1:14">
      <c r="A20" s="201" t="s">
        <v>338</v>
      </c>
      <c r="B20" s="201">
        <v>360</v>
      </c>
      <c r="C20" s="202" t="s">
        <v>559</v>
      </c>
      <c r="D20" s="203">
        <f>B20*J4/100000</f>
        <v>17.380872</v>
      </c>
      <c r="E20" s="415">
        <v>18</v>
      </c>
      <c r="F20" s="415">
        <v>0</v>
      </c>
      <c r="G20" s="201">
        <v>1.55</v>
      </c>
      <c r="H20" s="415">
        <v>1.5</v>
      </c>
      <c r="I20" s="415">
        <v>4.6340000000000003</v>
      </c>
      <c r="J20" s="415">
        <v>5.8448200000000003</v>
      </c>
      <c r="K20" s="415">
        <v>4.5012299999999996</v>
      </c>
      <c r="L20" s="415">
        <v>0</v>
      </c>
      <c r="M20" s="415">
        <f t="shared" ref="M20:M26" si="0">SUM(F20:L20)</f>
        <v>18.030049999999999</v>
      </c>
      <c r="N20" s="416">
        <f t="shared" ref="N20:N27" si="1">M20/E20*100</f>
        <v>100.16694444444445</v>
      </c>
    </row>
    <row r="21" spans="1:14">
      <c r="A21" s="201" t="s">
        <v>321</v>
      </c>
      <c r="B21" s="201">
        <v>8.4</v>
      </c>
      <c r="C21" s="202" t="s">
        <v>560</v>
      </c>
      <c r="D21" s="203">
        <v>58.8</v>
      </c>
      <c r="E21" s="415">
        <v>18.900000000000002</v>
      </c>
      <c r="F21" s="415">
        <v>0</v>
      </c>
      <c r="G21" s="201">
        <v>1.41</v>
      </c>
      <c r="H21" s="415">
        <v>3.4</v>
      </c>
      <c r="I21" s="415">
        <v>3.24</v>
      </c>
      <c r="J21" s="415">
        <v>4.41</v>
      </c>
      <c r="K21" s="415">
        <v>3.3</v>
      </c>
      <c r="L21" s="415">
        <v>2.3933200000000001</v>
      </c>
      <c r="M21" s="415">
        <f t="shared" si="0"/>
        <v>18.153320000000001</v>
      </c>
      <c r="N21" s="416">
        <f t="shared" si="1"/>
        <v>96.049312169312159</v>
      </c>
    </row>
    <row r="22" spans="1:14">
      <c r="A22" s="201" t="s">
        <v>561</v>
      </c>
      <c r="B22" s="201">
        <v>0.84</v>
      </c>
      <c r="C22" s="202" t="s">
        <v>560</v>
      </c>
      <c r="D22" s="203">
        <v>5.88</v>
      </c>
      <c r="E22" s="415">
        <v>8.64</v>
      </c>
      <c r="F22" s="415">
        <v>0</v>
      </c>
      <c r="G22" s="201">
        <v>0.19</v>
      </c>
      <c r="H22" s="415">
        <v>0.57999999999999996</v>
      </c>
      <c r="I22" s="415">
        <v>2.4</v>
      </c>
      <c r="J22" s="415">
        <v>2.4</v>
      </c>
      <c r="K22" s="415">
        <v>1.26</v>
      </c>
      <c r="L22" s="415">
        <v>0.79</v>
      </c>
      <c r="M22" s="415">
        <f t="shared" si="0"/>
        <v>7.62</v>
      </c>
      <c r="N22" s="416">
        <f t="shared" si="1"/>
        <v>88.194444444444443</v>
      </c>
    </row>
    <row r="23" spans="1:14" ht="22.5">
      <c r="A23" s="201" t="s">
        <v>322</v>
      </c>
      <c r="B23" s="201">
        <v>3.6</v>
      </c>
      <c r="C23" s="202" t="s">
        <v>560</v>
      </c>
      <c r="D23" s="203">
        <v>25.2</v>
      </c>
      <c r="E23" s="415">
        <v>3.6266799999999999</v>
      </c>
      <c r="F23" s="415">
        <v>0</v>
      </c>
      <c r="G23" s="201">
        <v>0</v>
      </c>
      <c r="H23" s="415">
        <v>0</v>
      </c>
      <c r="I23" s="415">
        <v>1.075</v>
      </c>
      <c r="J23" s="415">
        <v>0</v>
      </c>
      <c r="K23" s="415">
        <v>0.82499999999999996</v>
      </c>
      <c r="L23" s="415">
        <v>1.38</v>
      </c>
      <c r="M23" s="415">
        <f t="shared" si="0"/>
        <v>3.28</v>
      </c>
      <c r="N23" s="416">
        <f t="shared" si="1"/>
        <v>90.440843967485407</v>
      </c>
    </row>
    <row r="24" spans="1:14">
      <c r="A24" s="201" t="s">
        <v>305</v>
      </c>
      <c r="B24" s="201">
        <v>0.24</v>
      </c>
      <c r="C24" s="202" t="s">
        <v>560</v>
      </c>
      <c r="D24" s="203">
        <v>1.68</v>
      </c>
      <c r="E24" s="415">
        <v>1.6590199999999997</v>
      </c>
      <c r="F24" s="415">
        <v>0</v>
      </c>
      <c r="G24" s="201">
        <v>0</v>
      </c>
      <c r="H24" s="415">
        <v>0</v>
      </c>
      <c r="I24" s="415">
        <v>0</v>
      </c>
      <c r="J24" s="415">
        <v>0.7</v>
      </c>
      <c r="K24" s="415">
        <v>0.495</v>
      </c>
      <c r="L24" s="415">
        <v>0.22</v>
      </c>
      <c r="M24" s="415">
        <f t="shared" si="0"/>
        <v>1.4149999999999998</v>
      </c>
      <c r="N24" s="416">
        <f t="shared" si="1"/>
        <v>85.29131656037903</v>
      </c>
    </row>
    <row r="25" spans="1:14">
      <c r="A25" s="201" t="s">
        <v>306</v>
      </c>
      <c r="B25" s="201">
        <v>0.24</v>
      </c>
      <c r="C25" s="202" t="s">
        <v>560</v>
      </c>
      <c r="D25" s="203">
        <v>1.68</v>
      </c>
      <c r="E25" s="415">
        <v>1.6321600000000001</v>
      </c>
      <c r="F25" s="415">
        <v>4.258E-2</v>
      </c>
      <c r="G25" s="201">
        <v>0.15</v>
      </c>
      <c r="H25" s="415">
        <v>0.3</v>
      </c>
      <c r="I25" s="415">
        <v>0.2</v>
      </c>
      <c r="J25" s="415">
        <v>0.3</v>
      </c>
      <c r="K25" s="415">
        <v>0.31717000000000001</v>
      </c>
      <c r="L25" s="415">
        <v>0.30241000000000001</v>
      </c>
      <c r="M25" s="415">
        <f t="shared" si="0"/>
        <v>1.61216</v>
      </c>
      <c r="N25" s="416">
        <f t="shared" si="1"/>
        <v>98.774629938241347</v>
      </c>
    </row>
    <row r="26" spans="1:14">
      <c r="A26" s="201" t="s">
        <v>113</v>
      </c>
      <c r="B26" s="201">
        <v>0.2</v>
      </c>
      <c r="C26" s="202" t="s">
        <v>68</v>
      </c>
      <c r="D26" s="203">
        <v>0.2</v>
      </c>
      <c r="E26" s="415">
        <v>1.17425</v>
      </c>
      <c r="F26" s="201">
        <v>0</v>
      </c>
      <c r="G26" s="201">
        <v>0</v>
      </c>
      <c r="H26" s="415">
        <v>0</v>
      </c>
      <c r="I26" s="415">
        <v>0.41621000000000002</v>
      </c>
      <c r="J26" s="415">
        <v>0.50044999999999995</v>
      </c>
      <c r="K26" s="415">
        <v>0.2</v>
      </c>
      <c r="L26" s="415">
        <v>0</v>
      </c>
      <c r="M26" s="415">
        <f t="shared" si="0"/>
        <v>1.11666</v>
      </c>
      <c r="N26" s="416">
        <f t="shared" si="1"/>
        <v>95.095592931658501</v>
      </c>
    </row>
    <row r="27" spans="1:14">
      <c r="A27" s="412" t="s">
        <v>69</v>
      </c>
      <c r="B27" s="412"/>
      <c r="C27" s="413"/>
      <c r="D27" s="204">
        <f>SUM(D19:D26)</f>
        <v>134.960972</v>
      </c>
      <c r="E27" s="204">
        <f t="shared" ref="E27:M27" si="2">SUM(E19:E26)</f>
        <v>78.092109999999991</v>
      </c>
      <c r="F27" s="204">
        <f t="shared" si="2"/>
        <v>4.258E-2</v>
      </c>
      <c r="G27" s="204">
        <f t="shared" si="2"/>
        <v>9.548</v>
      </c>
      <c r="H27" s="204">
        <f t="shared" si="2"/>
        <v>10.74</v>
      </c>
      <c r="I27" s="204">
        <f t="shared" si="2"/>
        <v>13.234449999999999</v>
      </c>
      <c r="J27" s="204">
        <f t="shared" si="2"/>
        <v>21.301400000000001</v>
      </c>
      <c r="K27" s="204">
        <f t="shared" si="2"/>
        <v>15.597459999999998</v>
      </c>
      <c r="L27" s="204">
        <f t="shared" si="2"/>
        <v>6.4157299999999999</v>
      </c>
      <c r="M27" s="204">
        <f t="shared" si="2"/>
        <v>76.879620000000003</v>
      </c>
      <c r="N27" s="416">
        <f t="shared" si="1"/>
        <v>98.447359150623555</v>
      </c>
    </row>
    <row r="29" spans="1:14">
      <c r="E29" s="3"/>
    </row>
    <row r="30" spans="1:14">
      <c r="L30" s="3"/>
    </row>
    <row r="31" spans="1:14">
      <c r="E31" s="3"/>
    </row>
  </sheetData>
  <mergeCells count="17">
    <mergeCell ref="A8:A9"/>
    <mergeCell ref="B8:C9"/>
    <mergeCell ref="F8:I9"/>
    <mergeCell ref="A17:A18"/>
    <mergeCell ref="B17:B18"/>
    <mergeCell ref="C17:C18"/>
    <mergeCell ref="D17:D18"/>
    <mergeCell ref="E17:E18"/>
    <mergeCell ref="F17:N17"/>
    <mergeCell ref="B6:C6"/>
    <mergeCell ref="F6:G6"/>
    <mergeCell ref="A1:N1"/>
    <mergeCell ref="A2:N2"/>
    <mergeCell ref="B4:C4"/>
    <mergeCell ref="F4:G4"/>
    <mergeCell ref="H4:I4"/>
    <mergeCell ref="A3:C3"/>
  </mergeCells>
  <hyperlinks>
    <hyperlink ref="A3" location="'Fact Sheet of VDC'!A1" display="&lt;&lt;Back"/>
  </hyperlinks>
  <printOptions horizontalCentered="1" verticalCentered="1"/>
  <pageMargins left="0.27559055118110237" right="0.31496062992125984" top="0.55118110236220474" bottom="0.39370078740157483" header="0.31496062992125984" footer="0.31496062992125984"/>
  <pageSetup paperSize="9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workbookViewId="0">
      <selection activeCell="A3" sqref="A3:C3"/>
    </sheetView>
  </sheetViews>
  <sheetFormatPr defaultRowHeight="15"/>
  <cols>
    <col min="1" max="1" width="28.7109375" style="248" customWidth="1"/>
    <col min="2" max="6" width="9.140625" style="248"/>
    <col min="7" max="7" width="10.140625" style="248" bestFit="1" customWidth="1"/>
    <col min="8" max="11" width="9.140625" style="248"/>
    <col min="12" max="12" width="7.5703125" style="248" customWidth="1"/>
    <col min="13" max="13" width="9.140625" style="248"/>
    <col min="14" max="14" width="10" style="248" bestFit="1" customWidth="1"/>
    <col min="15" max="16384" width="9.140625" style="248"/>
  </cols>
  <sheetData>
    <row r="1" spans="1:14">
      <c r="A1" s="589" t="s">
        <v>31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</row>
    <row r="2" spans="1:14">
      <c r="A2" s="589" t="s">
        <v>581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</row>
    <row r="3" spans="1:14">
      <c r="A3" s="489" t="s">
        <v>585</v>
      </c>
      <c r="B3" s="489"/>
      <c r="C3" s="489"/>
    </row>
    <row r="4" spans="1:14">
      <c r="A4" s="11" t="s">
        <v>309</v>
      </c>
      <c r="B4" s="587" t="s">
        <v>582</v>
      </c>
      <c r="C4" s="588"/>
      <c r="D4" s="11" t="s">
        <v>548</v>
      </c>
      <c r="F4" s="587">
        <v>10</v>
      </c>
      <c r="G4" s="588"/>
      <c r="H4" s="590" t="s">
        <v>4</v>
      </c>
      <c r="I4" s="591"/>
      <c r="J4" s="12">
        <v>5343.7</v>
      </c>
      <c r="K4" s="11" t="s">
        <v>86</v>
      </c>
      <c r="M4" s="12">
        <v>800</v>
      </c>
    </row>
    <row r="5" spans="1:14">
      <c r="A5" s="11"/>
    </row>
    <row r="6" spans="1:14">
      <c r="A6" s="11" t="s">
        <v>549</v>
      </c>
      <c r="B6" s="587"/>
      <c r="C6" s="588"/>
      <c r="D6" s="11" t="s">
        <v>280</v>
      </c>
      <c r="F6" s="587" t="s">
        <v>583</v>
      </c>
      <c r="G6" s="588"/>
      <c r="H6" s="414"/>
      <c r="I6" s="414"/>
    </row>
    <row r="7" spans="1:14">
      <c r="A7" s="11"/>
    </row>
    <row r="8" spans="1:14">
      <c r="A8" s="592" t="s">
        <v>551</v>
      </c>
      <c r="B8" s="593" t="s">
        <v>562</v>
      </c>
      <c r="C8" s="594"/>
      <c r="F8" s="593" t="s">
        <v>584</v>
      </c>
      <c r="G8" s="608"/>
      <c r="H8" s="608"/>
      <c r="I8" s="609"/>
    </row>
    <row r="9" spans="1:14" ht="18.75" customHeight="1">
      <c r="A9" s="592"/>
      <c r="B9" s="595"/>
      <c r="C9" s="596"/>
      <c r="F9" s="610"/>
      <c r="G9" s="611"/>
      <c r="H9" s="611"/>
      <c r="I9" s="612"/>
    </row>
    <row r="10" spans="1:14">
      <c r="A10" s="11"/>
      <c r="B10" s="197"/>
      <c r="C10" s="197"/>
      <c r="F10" s="197"/>
      <c r="G10" s="197"/>
      <c r="H10" s="197"/>
      <c r="I10" s="197"/>
    </row>
    <row r="11" spans="1:14">
      <c r="A11" s="11" t="s">
        <v>554</v>
      </c>
      <c r="B11" s="198">
        <v>31</v>
      </c>
      <c r="C11" s="197" t="s">
        <v>555</v>
      </c>
      <c r="F11" s="198">
        <v>17</v>
      </c>
      <c r="G11" s="197" t="s">
        <v>556</v>
      </c>
      <c r="H11" s="198">
        <v>129</v>
      </c>
      <c r="I11" s="197" t="s">
        <v>160</v>
      </c>
      <c r="J11" s="253">
        <v>22</v>
      </c>
      <c r="K11" s="197" t="s">
        <v>161</v>
      </c>
      <c r="L11" s="253"/>
    </row>
    <row r="12" spans="1:14">
      <c r="A12" s="11"/>
      <c r="B12" s="197"/>
      <c r="C12" s="197"/>
      <c r="F12" s="197"/>
      <c r="G12" s="197"/>
      <c r="H12" s="197"/>
      <c r="I12" s="197"/>
    </row>
    <row r="13" spans="1:14">
      <c r="A13" s="11"/>
    </row>
    <row r="14" spans="1:14" ht="22.5">
      <c r="A14" s="11" t="s">
        <v>96</v>
      </c>
      <c r="C14" s="11" t="s">
        <v>40</v>
      </c>
      <c r="D14" s="253">
        <v>1219</v>
      </c>
      <c r="E14" s="11" t="s">
        <v>41</v>
      </c>
      <c r="F14" s="253">
        <v>332</v>
      </c>
      <c r="G14" s="11" t="s">
        <v>42</v>
      </c>
      <c r="H14" s="253">
        <v>760</v>
      </c>
      <c r="I14" s="11" t="s">
        <v>64</v>
      </c>
      <c r="J14" s="253">
        <v>2311</v>
      </c>
      <c r="K14" s="11" t="s">
        <v>43</v>
      </c>
      <c r="L14" s="253" t="e">
        <f>'[4]Form A'!L18+'[4]Form A'!#REF!+'[4]Form A'!#REF!+'[4]Form A'!#REF!+'[4]Form A'!#REF!+'[4]Form A'!#REF!+'[4]Form A'!#REF!+'[4]Form A'!#REF!+'[4]Form A'!#REF!+'[4]Form A'!#REF!</f>
        <v>#REF!</v>
      </c>
      <c r="M14" s="199" t="s">
        <v>557</v>
      </c>
      <c r="N14" s="253" t="e">
        <f>'[4]Form A'!N18+'[4]Form A'!#REF!+'[4]Form A'!#REF!+'[4]Form A'!#REF!+'[4]Form A'!#REF!+'[4]Form A'!#REF!+'[4]Form A'!#REF!+'[4]Form A'!#REF!+'[4]Form A'!#REF!+'[4]Form A'!#REF!</f>
        <v>#REF!</v>
      </c>
    </row>
    <row r="15" spans="1:14">
      <c r="A15" s="11" t="s">
        <v>45</v>
      </c>
      <c r="C15" s="11" t="s">
        <v>46</v>
      </c>
      <c r="D15" s="253">
        <v>3133</v>
      </c>
      <c r="E15" s="11" t="s">
        <v>47</v>
      </c>
      <c r="F15" s="253">
        <v>448</v>
      </c>
      <c r="G15" s="11" t="s">
        <v>48</v>
      </c>
      <c r="H15" s="253">
        <v>1285</v>
      </c>
      <c r="I15" s="11" t="s">
        <v>77</v>
      </c>
      <c r="J15" s="253">
        <v>4866</v>
      </c>
    </row>
    <row r="16" spans="1:14">
      <c r="A16" s="11"/>
      <c r="C16" s="11" t="s">
        <v>49</v>
      </c>
      <c r="D16" s="253">
        <v>3071</v>
      </c>
      <c r="E16" s="11" t="s">
        <v>50</v>
      </c>
      <c r="F16" s="253">
        <v>497</v>
      </c>
      <c r="G16" s="11" t="s">
        <v>162</v>
      </c>
      <c r="H16" s="253">
        <v>1352</v>
      </c>
      <c r="I16" s="11" t="s">
        <v>76</v>
      </c>
      <c r="J16" s="253">
        <v>4920</v>
      </c>
    </row>
    <row r="19" spans="1:14">
      <c r="A19" s="11"/>
    </row>
    <row r="20" spans="1:14">
      <c r="A20" s="200" t="s">
        <v>52</v>
      </c>
    </row>
    <row r="21" spans="1:14">
      <c r="A21" s="603" t="s">
        <v>53</v>
      </c>
      <c r="B21" s="603" t="s">
        <v>54</v>
      </c>
      <c r="C21" s="603" t="s">
        <v>55</v>
      </c>
      <c r="D21" s="603" t="s">
        <v>73</v>
      </c>
      <c r="E21" s="603" t="s">
        <v>126</v>
      </c>
      <c r="F21" s="604" t="s">
        <v>558</v>
      </c>
      <c r="G21" s="604"/>
      <c r="H21" s="604"/>
      <c r="I21" s="604"/>
      <c r="J21" s="604"/>
      <c r="K21" s="604"/>
      <c r="L21" s="604"/>
      <c r="M21" s="604"/>
      <c r="N21" s="604"/>
    </row>
    <row r="22" spans="1:14">
      <c r="A22" s="603"/>
      <c r="B22" s="603"/>
      <c r="C22" s="603"/>
      <c r="D22" s="603"/>
      <c r="E22" s="603"/>
      <c r="F22" s="413" t="s">
        <v>61</v>
      </c>
      <c r="G22" s="413" t="s">
        <v>62</v>
      </c>
      <c r="H22" s="413" t="s">
        <v>63</v>
      </c>
      <c r="I22" s="413">
        <v>4</v>
      </c>
      <c r="J22" s="413">
        <v>5</v>
      </c>
      <c r="K22" s="413">
        <v>6</v>
      </c>
      <c r="L22" s="413">
        <v>7</v>
      </c>
      <c r="M22" s="413" t="s">
        <v>64</v>
      </c>
      <c r="N22" s="413" t="s">
        <v>65</v>
      </c>
    </row>
    <row r="23" spans="1:14" ht="24" customHeight="1">
      <c r="A23" s="201" t="s">
        <v>370</v>
      </c>
      <c r="B23" s="201">
        <v>500</v>
      </c>
      <c r="C23" s="202" t="s">
        <v>559</v>
      </c>
      <c r="D23" s="203">
        <f>B23*J4/100000</f>
        <v>26.718499999999999</v>
      </c>
      <c r="E23" s="201">
        <v>17.5</v>
      </c>
      <c r="F23" s="415">
        <v>9.11</v>
      </c>
      <c r="G23" s="415">
        <v>4.5429399999999998</v>
      </c>
      <c r="H23" s="415">
        <v>4.00082</v>
      </c>
      <c r="I23" s="415">
        <v>0</v>
      </c>
      <c r="J23" s="415">
        <v>0</v>
      </c>
      <c r="K23" s="415">
        <v>0</v>
      </c>
      <c r="L23" s="415">
        <v>0</v>
      </c>
      <c r="M23" s="415">
        <f>SUM(F23:L23)</f>
        <v>17.653759999999998</v>
      </c>
      <c r="N23" s="416">
        <f>M23/E23*100</f>
        <v>100.87862857142855</v>
      </c>
    </row>
    <row r="24" spans="1:14">
      <c r="A24" s="201" t="s">
        <v>338</v>
      </c>
      <c r="B24" s="201">
        <v>360</v>
      </c>
      <c r="C24" s="202" t="s">
        <v>559</v>
      </c>
      <c r="D24" s="203">
        <f>B24*J4/100000</f>
        <v>19.23732</v>
      </c>
      <c r="E24" s="201">
        <v>3.6</v>
      </c>
      <c r="F24" s="415">
        <v>0</v>
      </c>
      <c r="G24" s="415">
        <v>1.3397300000000001</v>
      </c>
      <c r="H24" s="415">
        <v>3.1471499999999999</v>
      </c>
      <c r="I24" s="415">
        <v>0</v>
      </c>
      <c r="J24" s="415">
        <v>0</v>
      </c>
      <c r="K24" s="415">
        <v>0</v>
      </c>
      <c r="L24" s="415">
        <v>0</v>
      </c>
      <c r="M24" s="415">
        <f t="shared" ref="M24:M30" si="0">SUM(F24:L24)</f>
        <v>4.4868800000000002</v>
      </c>
      <c r="N24" s="416">
        <f t="shared" ref="N24:N31" si="1">M24/E24*100</f>
        <v>124.63555555555557</v>
      </c>
    </row>
    <row r="25" spans="1:14" ht="22.5">
      <c r="A25" s="201" t="s">
        <v>321</v>
      </c>
      <c r="B25" s="201">
        <v>8.4</v>
      </c>
      <c r="C25" s="202" t="s">
        <v>560</v>
      </c>
      <c r="D25" s="203">
        <v>58.8</v>
      </c>
      <c r="E25" s="201">
        <v>9.48</v>
      </c>
      <c r="F25" s="415">
        <v>2.75</v>
      </c>
      <c r="G25" s="415">
        <v>3.87</v>
      </c>
      <c r="H25" s="415">
        <v>2.16</v>
      </c>
      <c r="I25" s="415">
        <v>0</v>
      </c>
      <c r="J25" s="415">
        <v>0</v>
      </c>
      <c r="K25" s="415">
        <v>0</v>
      </c>
      <c r="L25" s="415">
        <v>0</v>
      </c>
      <c r="M25" s="415">
        <f t="shared" si="0"/>
        <v>8.7800000000000011</v>
      </c>
      <c r="N25" s="416">
        <f t="shared" si="1"/>
        <v>92.616033755274273</v>
      </c>
    </row>
    <row r="26" spans="1:14" ht="22.5">
      <c r="A26" s="201" t="s">
        <v>561</v>
      </c>
      <c r="B26" s="201">
        <v>0.84</v>
      </c>
      <c r="C26" s="202" t="s">
        <v>560</v>
      </c>
      <c r="D26" s="203">
        <v>5.88</v>
      </c>
      <c r="E26" s="201">
        <v>3.8</v>
      </c>
      <c r="F26" s="415">
        <v>1.1200000000000001</v>
      </c>
      <c r="G26" s="415">
        <v>1.24</v>
      </c>
      <c r="H26" s="415">
        <v>1.32</v>
      </c>
      <c r="I26" s="415">
        <v>0</v>
      </c>
      <c r="J26" s="415">
        <v>0</v>
      </c>
      <c r="K26" s="415">
        <v>0</v>
      </c>
      <c r="L26" s="415">
        <v>0</v>
      </c>
      <c r="M26" s="415">
        <f t="shared" si="0"/>
        <v>3.6800000000000006</v>
      </c>
      <c r="N26" s="416">
        <f t="shared" si="1"/>
        <v>96.842105263157919</v>
      </c>
    </row>
    <row r="27" spans="1:14" ht="22.5">
      <c r="A27" s="201" t="s">
        <v>322</v>
      </c>
      <c r="B27" s="201">
        <v>3.6</v>
      </c>
      <c r="C27" s="202" t="s">
        <v>560</v>
      </c>
      <c r="D27" s="203">
        <v>25.2</v>
      </c>
      <c r="E27" s="201">
        <v>5.4</v>
      </c>
      <c r="F27" s="415">
        <v>1.86</v>
      </c>
      <c r="G27" s="415">
        <v>2.04</v>
      </c>
      <c r="H27" s="415">
        <v>1.26</v>
      </c>
      <c r="I27" s="415">
        <v>0</v>
      </c>
      <c r="J27" s="415">
        <v>0</v>
      </c>
      <c r="K27" s="415">
        <v>0</v>
      </c>
      <c r="L27" s="415">
        <v>0</v>
      </c>
      <c r="M27" s="415">
        <f t="shared" si="0"/>
        <v>5.16</v>
      </c>
      <c r="N27" s="416">
        <f t="shared" si="1"/>
        <v>95.555555555555543</v>
      </c>
    </row>
    <row r="28" spans="1:14" ht="22.5">
      <c r="A28" s="201" t="s">
        <v>305</v>
      </c>
      <c r="B28" s="201">
        <v>0.24</v>
      </c>
      <c r="C28" s="202" t="s">
        <v>560</v>
      </c>
      <c r="D28" s="203">
        <v>1.68</v>
      </c>
      <c r="E28" s="201">
        <v>0.62</v>
      </c>
      <c r="F28" s="415">
        <v>0.22</v>
      </c>
      <c r="G28" s="415">
        <v>0.24</v>
      </c>
      <c r="H28" s="415">
        <v>0.16</v>
      </c>
      <c r="I28" s="415">
        <v>0</v>
      </c>
      <c r="J28" s="415">
        <v>0</v>
      </c>
      <c r="K28" s="415">
        <v>0</v>
      </c>
      <c r="L28" s="415">
        <v>0</v>
      </c>
      <c r="M28" s="415">
        <f t="shared" si="0"/>
        <v>0.62</v>
      </c>
      <c r="N28" s="416">
        <f t="shared" si="1"/>
        <v>100</v>
      </c>
    </row>
    <row r="29" spans="1:14" ht="22.5">
      <c r="A29" s="201" t="s">
        <v>306</v>
      </c>
      <c r="B29" s="201">
        <v>0.24</v>
      </c>
      <c r="C29" s="202" t="s">
        <v>560</v>
      </c>
      <c r="D29" s="203">
        <v>1.68</v>
      </c>
      <c r="E29" s="201">
        <v>0.97</v>
      </c>
      <c r="F29" s="415">
        <v>0.39</v>
      </c>
      <c r="G29" s="415">
        <v>0.34</v>
      </c>
      <c r="H29" s="415">
        <v>0.24</v>
      </c>
      <c r="I29" s="415">
        <v>0</v>
      </c>
      <c r="J29" s="415">
        <v>0</v>
      </c>
      <c r="K29" s="415">
        <v>0</v>
      </c>
      <c r="L29" s="415">
        <v>0</v>
      </c>
      <c r="M29" s="415">
        <f t="shared" si="0"/>
        <v>0.97</v>
      </c>
      <c r="N29" s="416">
        <f t="shared" si="1"/>
        <v>100</v>
      </c>
    </row>
    <row r="30" spans="1:14">
      <c r="A30" s="201" t="s">
        <v>113</v>
      </c>
      <c r="B30" s="201">
        <v>0.2</v>
      </c>
      <c r="C30" s="202" t="s">
        <v>68</v>
      </c>
      <c r="D30" s="203">
        <v>0.2</v>
      </c>
      <c r="E30" s="201">
        <v>0.2</v>
      </c>
      <c r="F30" s="415">
        <v>0.2</v>
      </c>
      <c r="G30" s="415">
        <v>0</v>
      </c>
      <c r="H30" s="415">
        <v>0</v>
      </c>
      <c r="I30" s="415">
        <v>0</v>
      </c>
      <c r="J30" s="415">
        <v>0</v>
      </c>
      <c r="K30" s="415">
        <v>0</v>
      </c>
      <c r="L30" s="415">
        <v>0</v>
      </c>
      <c r="M30" s="415">
        <f t="shared" si="0"/>
        <v>0.2</v>
      </c>
      <c r="N30" s="416">
        <f t="shared" si="1"/>
        <v>100</v>
      </c>
    </row>
    <row r="31" spans="1:14">
      <c r="A31" s="412" t="s">
        <v>69</v>
      </c>
      <c r="B31" s="412"/>
      <c r="C31" s="413"/>
      <c r="D31" s="204">
        <f>SUM(D23:D30)</f>
        <v>139.39581999999999</v>
      </c>
      <c r="E31" s="204">
        <f t="shared" ref="E31:M31" si="2">SUM(E23:E30)</f>
        <v>41.57</v>
      </c>
      <c r="F31" s="204">
        <f t="shared" si="2"/>
        <v>15.65</v>
      </c>
      <c r="G31" s="204">
        <f t="shared" si="2"/>
        <v>13.61267</v>
      </c>
      <c r="H31" s="204">
        <f t="shared" si="2"/>
        <v>12.287970000000001</v>
      </c>
      <c r="I31" s="204">
        <f t="shared" si="2"/>
        <v>0</v>
      </c>
      <c r="J31" s="204">
        <f t="shared" si="2"/>
        <v>0</v>
      </c>
      <c r="K31" s="204">
        <f t="shared" si="2"/>
        <v>0</v>
      </c>
      <c r="L31" s="204">
        <f t="shared" si="2"/>
        <v>0</v>
      </c>
      <c r="M31" s="204">
        <f t="shared" si="2"/>
        <v>41.550639999999994</v>
      </c>
      <c r="N31" s="416">
        <f t="shared" si="1"/>
        <v>99.953427952850603</v>
      </c>
    </row>
    <row r="34" spans="5:8">
      <c r="E34" s="3"/>
      <c r="F34" s="3"/>
      <c r="G34" s="3"/>
      <c r="H34" s="3"/>
    </row>
  </sheetData>
  <mergeCells count="17">
    <mergeCell ref="A8:A9"/>
    <mergeCell ref="B8:C9"/>
    <mergeCell ref="F8:I9"/>
    <mergeCell ref="A21:A22"/>
    <mergeCell ref="B21:B22"/>
    <mergeCell ref="C21:C22"/>
    <mergeCell ref="D21:D22"/>
    <mergeCell ref="E21:E22"/>
    <mergeCell ref="F21:N21"/>
    <mergeCell ref="B6:C6"/>
    <mergeCell ref="F6:G6"/>
    <mergeCell ref="A1:N1"/>
    <mergeCell ref="A2:N2"/>
    <mergeCell ref="B4:C4"/>
    <mergeCell ref="F4:G4"/>
    <mergeCell ref="H4:I4"/>
    <mergeCell ref="A3:C3"/>
  </mergeCells>
  <hyperlinks>
    <hyperlink ref="A3" location="'Fact Sheet of VDC'!A1" display="&lt;&lt;Back"/>
  </hyperlinks>
  <printOptions horizontalCentered="1" verticalCentered="1"/>
  <pageMargins left="0.35433070866141736" right="0.31496062992125984" top="0.51181102362204722" bottom="0.6692913385826772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A5" sqref="A5"/>
    </sheetView>
  </sheetViews>
  <sheetFormatPr defaultRowHeight="15"/>
  <cols>
    <col min="1" max="1" width="24.42578125" style="248" customWidth="1"/>
    <col min="2" max="2" width="10.28515625" style="248" customWidth="1"/>
    <col min="3" max="3" width="11.5703125" style="248" customWidth="1"/>
    <col min="4" max="4" width="9" style="248" customWidth="1"/>
    <col min="5" max="5" width="9.28515625" style="248" bestFit="1" customWidth="1"/>
    <col min="6" max="6" width="10.28515625" style="248" customWidth="1"/>
    <col min="7" max="7" width="8.85546875" style="248" customWidth="1"/>
    <col min="8" max="8" width="9.42578125" style="248" customWidth="1"/>
    <col min="9" max="9" width="9.28515625" style="248" bestFit="1" customWidth="1"/>
    <col min="10" max="10" width="9.140625" style="248" customWidth="1"/>
    <col min="11" max="11" width="9.7109375" style="248" bestFit="1" customWidth="1"/>
    <col min="12" max="12" width="9.140625" style="248" customWidth="1"/>
    <col min="13" max="13" width="10" style="248" customWidth="1"/>
    <col min="14" max="14" width="8" style="248" customWidth="1"/>
    <col min="15" max="256" width="9.140625" style="248"/>
    <col min="257" max="257" width="24.42578125" style="248" customWidth="1"/>
    <col min="258" max="258" width="10.28515625" style="248" customWidth="1"/>
    <col min="259" max="259" width="11.5703125" style="248" customWidth="1"/>
    <col min="260" max="260" width="9" style="248" customWidth="1"/>
    <col min="261" max="261" width="9.28515625" style="248" bestFit="1" customWidth="1"/>
    <col min="262" max="262" width="10.28515625" style="248" customWidth="1"/>
    <col min="263" max="263" width="8.85546875" style="248" customWidth="1"/>
    <col min="264" max="264" width="9.42578125" style="248" customWidth="1"/>
    <col min="265" max="265" width="9.28515625" style="248" bestFit="1" customWidth="1"/>
    <col min="266" max="266" width="9.140625" style="248" customWidth="1"/>
    <col min="267" max="267" width="9.7109375" style="248" bestFit="1" customWidth="1"/>
    <col min="268" max="268" width="9.140625" style="248" customWidth="1"/>
    <col min="269" max="269" width="10" style="248" customWidth="1"/>
    <col min="270" max="270" width="8" style="248" customWidth="1"/>
    <col min="271" max="512" width="9.140625" style="248"/>
    <col min="513" max="513" width="24.42578125" style="248" customWidth="1"/>
    <col min="514" max="514" width="10.28515625" style="248" customWidth="1"/>
    <col min="515" max="515" width="11.5703125" style="248" customWidth="1"/>
    <col min="516" max="516" width="9" style="248" customWidth="1"/>
    <col min="517" max="517" width="9.28515625" style="248" bestFit="1" customWidth="1"/>
    <col min="518" max="518" width="10.28515625" style="248" customWidth="1"/>
    <col min="519" max="519" width="8.85546875" style="248" customWidth="1"/>
    <col min="520" max="520" width="9.42578125" style="248" customWidth="1"/>
    <col min="521" max="521" width="9.28515625" style="248" bestFit="1" customWidth="1"/>
    <col min="522" max="522" width="9.140625" style="248" customWidth="1"/>
    <col min="523" max="523" width="9.7109375" style="248" bestFit="1" customWidth="1"/>
    <col min="524" max="524" width="9.140625" style="248" customWidth="1"/>
    <col min="525" max="525" width="10" style="248" customWidth="1"/>
    <col min="526" max="526" width="8" style="248" customWidth="1"/>
    <col min="527" max="768" width="9.140625" style="248"/>
    <col min="769" max="769" width="24.42578125" style="248" customWidth="1"/>
    <col min="770" max="770" width="10.28515625" style="248" customWidth="1"/>
    <col min="771" max="771" width="11.5703125" style="248" customWidth="1"/>
    <col min="772" max="772" width="9" style="248" customWidth="1"/>
    <col min="773" max="773" width="9.28515625" style="248" bestFit="1" customWidth="1"/>
    <col min="774" max="774" width="10.28515625" style="248" customWidth="1"/>
    <col min="775" max="775" width="8.85546875" style="248" customWidth="1"/>
    <col min="776" max="776" width="9.42578125" style="248" customWidth="1"/>
    <col min="777" max="777" width="9.28515625" style="248" bestFit="1" customWidth="1"/>
    <col min="778" max="778" width="9.140625" style="248" customWidth="1"/>
    <col min="779" max="779" width="9.7109375" style="248" bestFit="1" customWidth="1"/>
    <col min="780" max="780" width="9.140625" style="248" customWidth="1"/>
    <col min="781" max="781" width="10" style="248" customWidth="1"/>
    <col min="782" max="782" width="8" style="248" customWidth="1"/>
    <col min="783" max="1024" width="9.140625" style="248"/>
    <col min="1025" max="1025" width="24.42578125" style="248" customWidth="1"/>
    <col min="1026" max="1026" width="10.28515625" style="248" customWidth="1"/>
    <col min="1027" max="1027" width="11.5703125" style="248" customWidth="1"/>
    <col min="1028" max="1028" width="9" style="248" customWidth="1"/>
    <col min="1029" max="1029" width="9.28515625" style="248" bestFit="1" customWidth="1"/>
    <col min="1030" max="1030" width="10.28515625" style="248" customWidth="1"/>
    <col min="1031" max="1031" width="8.85546875" style="248" customWidth="1"/>
    <col min="1032" max="1032" width="9.42578125" style="248" customWidth="1"/>
    <col min="1033" max="1033" width="9.28515625" style="248" bestFit="1" customWidth="1"/>
    <col min="1034" max="1034" width="9.140625" style="248" customWidth="1"/>
    <col min="1035" max="1035" width="9.7109375" style="248" bestFit="1" customWidth="1"/>
    <col min="1036" max="1036" width="9.140625" style="248" customWidth="1"/>
    <col min="1037" max="1037" width="10" style="248" customWidth="1"/>
    <col min="1038" max="1038" width="8" style="248" customWidth="1"/>
    <col min="1039" max="1280" width="9.140625" style="248"/>
    <col min="1281" max="1281" width="24.42578125" style="248" customWidth="1"/>
    <col min="1282" max="1282" width="10.28515625" style="248" customWidth="1"/>
    <col min="1283" max="1283" width="11.5703125" style="248" customWidth="1"/>
    <col min="1284" max="1284" width="9" style="248" customWidth="1"/>
    <col min="1285" max="1285" width="9.28515625" style="248" bestFit="1" customWidth="1"/>
    <col min="1286" max="1286" width="10.28515625" style="248" customWidth="1"/>
    <col min="1287" max="1287" width="8.85546875" style="248" customWidth="1"/>
    <col min="1288" max="1288" width="9.42578125" style="248" customWidth="1"/>
    <col min="1289" max="1289" width="9.28515625" style="248" bestFit="1" customWidth="1"/>
    <col min="1290" max="1290" width="9.140625" style="248" customWidth="1"/>
    <col min="1291" max="1291" width="9.7109375" style="248" bestFit="1" customWidth="1"/>
    <col min="1292" max="1292" width="9.140625" style="248" customWidth="1"/>
    <col min="1293" max="1293" width="10" style="248" customWidth="1"/>
    <col min="1294" max="1294" width="8" style="248" customWidth="1"/>
    <col min="1295" max="1536" width="9.140625" style="248"/>
    <col min="1537" max="1537" width="24.42578125" style="248" customWidth="1"/>
    <col min="1538" max="1538" width="10.28515625" style="248" customWidth="1"/>
    <col min="1539" max="1539" width="11.5703125" style="248" customWidth="1"/>
    <col min="1540" max="1540" width="9" style="248" customWidth="1"/>
    <col min="1541" max="1541" width="9.28515625" style="248" bestFit="1" customWidth="1"/>
    <col min="1542" max="1542" width="10.28515625" style="248" customWidth="1"/>
    <col min="1543" max="1543" width="8.85546875" style="248" customWidth="1"/>
    <col min="1544" max="1544" width="9.42578125" style="248" customWidth="1"/>
    <col min="1545" max="1545" width="9.28515625" style="248" bestFit="1" customWidth="1"/>
    <col min="1546" max="1546" width="9.140625" style="248" customWidth="1"/>
    <col min="1547" max="1547" width="9.7109375" style="248" bestFit="1" customWidth="1"/>
    <col min="1548" max="1548" width="9.140625" style="248" customWidth="1"/>
    <col min="1549" max="1549" width="10" style="248" customWidth="1"/>
    <col min="1550" max="1550" width="8" style="248" customWidth="1"/>
    <col min="1551" max="1792" width="9.140625" style="248"/>
    <col min="1793" max="1793" width="24.42578125" style="248" customWidth="1"/>
    <col min="1794" max="1794" width="10.28515625" style="248" customWidth="1"/>
    <col min="1795" max="1795" width="11.5703125" style="248" customWidth="1"/>
    <col min="1796" max="1796" width="9" style="248" customWidth="1"/>
    <col min="1797" max="1797" width="9.28515625" style="248" bestFit="1" customWidth="1"/>
    <col min="1798" max="1798" width="10.28515625" style="248" customWidth="1"/>
    <col min="1799" max="1799" width="8.85546875" style="248" customWidth="1"/>
    <col min="1800" max="1800" width="9.42578125" style="248" customWidth="1"/>
    <col min="1801" max="1801" width="9.28515625" style="248" bestFit="1" customWidth="1"/>
    <col min="1802" max="1802" width="9.140625" style="248" customWidth="1"/>
    <col min="1803" max="1803" width="9.7109375" style="248" bestFit="1" customWidth="1"/>
    <col min="1804" max="1804" width="9.140625" style="248" customWidth="1"/>
    <col min="1805" max="1805" width="10" style="248" customWidth="1"/>
    <col min="1806" max="1806" width="8" style="248" customWidth="1"/>
    <col min="1807" max="2048" width="9.140625" style="248"/>
    <col min="2049" max="2049" width="24.42578125" style="248" customWidth="1"/>
    <col min="2050" max="2050" width="10.28515625" style="248" customWidth="1"/>
    <col min="2051" max="2051" width="11.5703125" style="248" customWidth="1"/>
    <col min="2052" max="2052" width="9" style="248" customWidth="1"/>
    <col min="2053" max="2053" width="9.28515625" style="248" bestFit="1" customWidth="1"/>
    <col min="2054" max="2054" width="10.28515625" style="248" customWidth="1"/>
    <col min="2055" max="2055" width="8.85546875" style="248" customWidth="1"/>
    <col min="2056" max="2056" width="9.42578125" style="248" customWidth="1"/>
    <col min="2057" max="2057" width="9.28515625" style="248" bestFit="1" customWidth="1"/>
    <col min="2058" max="2058" width="9.140625" style="248" customWidth="1"/>
    <col min="2059" max="2059" width="9.7109375" style="248" bestFit="1" customWidth="1"/>
    <col min="2060" max="2060" width="9.140625" style="248" customWidth="1"/>
    <col min="2061" max="2061" width="10" style="248" customWidth="1"/>
    <col min="2062" max="2062" width="8" style="248" customWidth="1"/>
    <col min="2063" max="2304" width="9.140625" style="248"/>
    <col min="2305" max="2305" width="24.42578125" style="248" customWidth="1"/>
    <col min="2306" max="2306" width="10.28515625" style="248" customWidth="1"/>
    <col min="2307" max="2307" width="11.5703125" style="248" customWidth="1"/>
    <col min="2308" max="2308" width="9" style="248" customWidth="1"/>
    <col min="2309" max="2309" width="9.28515625" style="248" bestFit="1" customWidth="1"/>
    <col min="2310" max="2310" width="10.28515625" style="248" customWidth="1"/>
    <col min="2311" max="2311" width="8.85546875" style="248" customWidth="1"/>
    <col min="2312" max="2312" width="9.42578125" style="248" customWidth="1"/>
    <col min="2313" max="2313" width="9.28515625" style="248" bestFit="1" customWidth="1"/>
    <col min="2314" max="2314" width="9.140625" style="248" customWidth="1"/>
    <col min="2315" max="2315" width="9.7109375" style="248" bestFit="1" customWidth="1"/>
    <col min="2316" max="2316" width="9.140625" style="248" customWidth="1"/>
    <col min="2317" max="2317" width="10" style="248" customWidth="1"/>
    <col min="2318" max="2318" width="8" style="248" customWidth="1"/>
    <col min="2319" max="2560" width="9.140625" style="248"/>
    <col min="2561" max="2561" width="24.42578125" style="248" customWidth="1"/>
    <col min="2562" max="2562" width="10.28515625" style="248" customWidth="1"/>
    <col min="2563" max="2563" width="11.5703125" style="248" customWidth="1"/>
    <col min="2564" max="2564" width="9" style="248" customWidth="1"/>
    <col min="2565" max="2565" width="9.28515625" style="248" bestFit="1" customWidth="1"/>
    <col min="2566" max="2566" width="10.28515625" style="248" customWidth="1"/>
    <col min="2567" max="2567" width="8.85546875" style="248" customWidth="1"/>
    <col min="2568" max="2568" width="9.42578125" style="248" customWidth="1"/>
    <col min="2569" max="2569" width="9.28515625" style="248" bestFit="1" customWidth="1"/>
    <col min="2570" max="2570" width="9.140625" style="248" customWidth="1"/>
    <col min="2571" max="2571" width="9.7109375" style="248" bestFit="1" customWidth="1"/>
    <col min="2572" max="2572" width="9.140625" style="248" customWidth="1"/>
    <col min="2573" max="2573" width="10" style="248" customWidth="1"/>
    <col min="2574" max="2574" width="8" style="248" customWidth="1"/>
    <col min="2575" max="2816" width="9.140625" style="248"/>
    <col min="2817" max="2817" width="24.42578125" style="248" customWidth="1"/>
    <col min="2818" max="2818" width="10.28515625" style="248" customWidth="1"/>
    <col min="2819" max="2819" width="11.5703125" style="248" customWidth="1"/>
    <col min="2820" max="2820" width="9" style="248" customWidth="1"/>
    <col min="2821" max="2821" width="9.28515625" style="248" bestFit="1" customWidth="1"/>
    <col min="2822" max="2822" width="10.28515625" style="248" customWidth="1"/>
    <col min="2823" max="2823" width="8.85546875" style="248" customWidth="1"/>
    <col min="2824" max="2824" width="9.42578125" style="248" customWidth="1"/>
    <col min="2825" max="2825" width="9.28515625" style="248" bestFit="1" customWidth="1"/>
    <col min="2826" max="2826" width="9.140625" style="248" customWidth="1"/>
    <col min="2827" max="2827" width="9.7109375" style="248" bestFit="1" customWidth="1"/>
    <col min="2828" max="2828" width="9.140625" style="248" customWidth="1"/>
    <col min="2829" max="2829" width="10" style="248" customWidth="1"/>
    <col min="2830" max="2830" width="8" style="248" customWidth="1"/>
    <col min="2831" max="3072" width="9.140625" style="248"/>
    <col min="3073" max="3073" width="24.42578125" style="248" customWidth="1"/>
    <col min="3074" max="3074" width="10.28515625" style="248" customWidth="1"/>
    <col min="3075" max="3075" width="11.5703125" style="248" customWidth="1"/>
    <col min="3076" max="3076" width="9" style="248" customWidth="1"/>
    <col min="3077" max="3077" width="9.28515625" style="248" bestFit="1" customWidth="1"/>
    <col min="3078" max="3078" width="10.28515625" style="248" customWidth="1"/>
    <col min="3079" max="3079" width="8.85546875" style="248" customWidth="1"/>
    <col min="3080" max="3080" width="9.42578125" style="248" customWidth="1"/>
    <col min="3081" max="3081" width="9.28515625" style="248" bestFit="1" customWidth="1"/>
    <col min="3082" max="3082" width="9.140625" style="248" customWidth="1"/>
    <col min="3083" max="3083" width="9.7109375" style="248" bestFit="1" customWidth="1"/>
    <col min="3084" max="3084" width="9.140625" style="248" customWidth="1"/>
    <col min="3085" max="3085" width="10" style="248" customWidth="1"/>
    <col min="3086" max="3086" width="8" style="248" customWidth="1"/>
    <col min="3087" max="3328" width="9.140625" style="248"/>
    <col min="3329" max="3329" width="24.42578125" style="248" customWidth="1"/>
    <col min="3330" max="3330" width="10.28515625" style="248" customWidth="1"/>
    <col min="3331" max="3331" width="11.5703125" style="248" customWidth="1"/>
    <col min="3332" max="3332" width="9" style="248" customWidth="1"/>
    <col min="3333" max="3333" width="9.28515625" style="248" bestFit="1" customWidth="1"/>
    <col min="3334" max="3334" width="10.28515625" style="248" customWidth="1"/>
    <col min="3335" max="3335" width="8.85546875" style="248" customWidth="1"/>
    <col min="3336" max="3336" width="9.42578125" style="248" customWidth="1"/>
    <col min="3337" max="3337" width="9.28515625" style="248" bestFit="1" customWidth="1"/>
    <col min="3338" max="3338" width="9.140625" style="248" customWidth="1"/>
    <col min="3339" max="3339" width="9.7109375" style="248" bestFit="1" customWidth="1"/>
    <col min="3340" max="3340" width="9.140625" style="248" customWidth="1"/>
    <col min="3341" max="3341" width="10" style="248" customWidth="1"/>
    <col min="3342" max="3342" width="8" style="248" customWidth="1"/>
    <col min="3343" max="3584" width="9.140625" style="248"/>
    <col min="3585" max="3585" width="24.42578125" style="248" customWidth="1"/>
    <col min="3586" max="3586" width="10.28515625" style="248" customWidth="1"/>
    <col min="3587" max="3587" width="11.5703125" style="248" customWidth="1"/>
    <col min="3588" max="3588" width="9" style="248" customWidth="1"/>
    <col min="3589" max="3589" width="9.28515625" style="248" bestFit="1" customWidth="1"/>
    <col min="3590" max="3590" width="10.28515625" style="248" customWidth="1"/>
    <col min="3591" max="3591" width="8.85546875" style="248" customWidth="1"/>
    <col min="3592" max="3592" width="9.42578125" style="248" customWidth="1"/>
    <col min="3593" max="3593" width="9.28515625" style="248" bestFit="1" customWidth="1"/>
    <col min="3594" max="3594" width="9.140625" style="248" customWidth="1"/>
    <col min="3595" max="3595" width="9.7109375" style="248" bestFit="1" customWidth="1"/>
    <col min="3596" max="3596" width="9.140625" style="248" customWidth="1"/>
    <col min="3597" max="3597" width="10" style="248" customWidth="1"/>
    <col min="3598" max="3598" width="8" style="248" customWidth="1"/>
    <col min="3599" max="3840" width="9.140625" style="248"/>
    <col min="3841" max="3841" width="24.42578125" style="248" customWidth="1"/>
    <col min="3842" max="3842" width="10.28515625" style="248" customWidth="1"/>
    <col min="3843" max="3843" width="11.5703125" style="248" customWidth="1"/>
    <col min="3844" max="3844" width="9" style="248" customWidth="1"/>
    <col min="3845" max="3845" width="9.28515625" style="248" bestFit="1" customWidth="1"/>
    <col min="3846" max="3846" width="10.28515625" style="248" customWidth="1"/>
    <col min="3847" max="3847" width="8.85546875" style="248" customWidth="1"/>
    <col min="3848" max="3848" width="9.42578125" style="248" customWidth="1"/>
    <col min="3849" max="3849" width="9.28515625" style="248" bestFit="1" customWidth="1"/>
    <col min="3850" max="3850" width="9.140625" style="248" customWidth="1"/>
    <col min="3851" max="3851" width="9.7109375" style="248" bestFit="1" customWidth="1"/>
    <col min="3852" max="3852" width="9.140625" style="248" customWidth="1"/>
    <col min="3853" max="3853" width="10" style="248" customWidth="1"/>
    <col min="3854" max="3854" width="8" style="248" customWidth="1"/>
    <col min="3855" max="4096" width="9.140625" style="248"/>
    <col min="4097" max="4097" width="24.42578125" style="248" customWidth="1"/>
    <col min="4098" max="4098" width="10.28515625" style="248" customWidth="1"/>
    <col min="4099" max="4099" width="11.5703125" style="248" customWidth="1"/>
    <col min="4100" max="4100" width="9" style="248" customWidth="1"/>
    <col min="4101" max="4101" width="9.28515625" style="248" bestFit="1" customWidth="1"/>
    <col min="4102" max="4102" width="10.28515625" style="248" customWidth="1"/>
    <col min="4103" max="4103" width="8.85546875" style="248" customWidth="1"/>
    <col min="4104" max="4104" width="9.42578125" style="248" customWidth="1"/>
    <col min="4105" max="4105" width="9.28515625" style="248" bestFit="1" customWidth="1"/>
    <col min="4106" max="4106" width="9.140625" style="248" customWidth="1"/>
    <col min="4107" max="4107" width="9.7109375" style="248" bestFit="1" customWidth="1"/>
    <col min="4108" max="4108" width="9.140625" style="248" customWidth="1"/>
    <col min="4109" max="4109" width="10" style="248" customWidth="1"/>
    <col min="4110" max="4110" width="8" style="248" customWidth="1"/>
    <col min="4111" max="4352" width="9.140625" style="248"/>
    <col min="4353" max="4353" width="24.42578125" style="248" customWidth="1"/>
    <col min="4354" max="4354" width="10.28515625" style="248" customWidth="1"/>
    <col min="4355" max="4355" width="11.5703125" style="248" customWidth="1"/>
    <col min="4356" max="4356" width="9" style="248" customWidth="1"/>
    <col min="4357" max="4357" width="9.28515625" style="248" bestFit="1" customWidth="1"/>
    <col min="4358" max="4358" width="10.28515625" style="248" customWidth="1"/>
    <col min="4359" max="4359" width="8.85546875" style="248" customWidth="1"/>
    <col min="4360" max="4360" width="9.42578125" style="248" customWidth="1"/>
    <col min="4361" max="4361" width="9.28515625" style="248" bestFit="1" customWidth="1"/>
    <col min="4362" max="4362" width="9.140625" style="248" customWidth="1"/>
    <col min="4363" max="4363" width="9.7109375" style="248" bestFit="1" customWidth="1"/>
    <col min="4364" max="4364" width="9.140625" style="248" customWidth="1"/>
    <col min="4365" max="4365" width="10" style="248" customWidth="1"/>
    <col min="4366" max="4366" width="8" style="248" customWidth="1"/>
    <col min="4367" max="4608" width="9.140625" style="248"/>
    <col min="4609" max="4609" width="24.42578125" style="248" customWidth="1"/>
    <col min="4610" max="4610" width="10.28515625" style="248" customWidth="1"/>
    <col min="4611" max="4611" width="11.5703125" style="248" customWidth="1"/>
    <col min="4612" max="4612" width="9" style="248" customWidth="1"/>
    <col min="4613" max="4613" width="9.28515625" style="248" bestFit="1" customWidth="1"/>
    <col min="4614" max="4614" width="10.28515625" style="248" customWidth="1"/>
    <col min="4615" max="4615" width="8.85546875" style="248" customWidth="1"/>
    <col min="4616" max="4616" width="9.42578125" style="248" customWidth="1"/>
    <col min="4617" max="4617" width="9.28515625" style="248" bestFit="1" customWidth="1"/>
    <col min="4618" max="4618" width="9.140625" style="248" customWidth="1"/>
    <col min="4619" max="4619" width="9.7109375" style="248" bestFit="1" customWidth="1"/>
    <col min="4620" max="4620" width="9.140625" style="248" customWidth="1"/>
    <col min="4621" max="4621" width="10" style="248" customWidth="1"/>
    <col min="4622" max="4622" width="8" style="248" customWidth="1"/>
    <col min="4623" max="4864" width="9.140625" style="248"/>
    <col min="4865" max="4865" width="24.42578125" style="248" customWidth="1"/>
    <col min="4866" max="4866" width="10.28515625" style="248" customWidth="1"/>
    <col min="4867" max="4867" width="11.5703125" style="248" customWidth="1"/>
    <col min="4868" max="4868" width="9" style="248" customWidth="1"/>
    <col min="4869" max="4869" width="9.28515625" style="248" bestFit="1" customWidth="1"/>
    <col min="4870" max="4870" width="10.28515625" style="248" customWidth="1"/>
    <col min="4871" max="4871" width="8.85546875" style="248" customWidth="1"/>
    <col min="4872" max="4872" width="9.42578125" style="248" customWidth="1"/>
    <col min="4873" max="4873" width="9.28515625" style="248" bestFit="1" customWidth="1"/>
    <col min="4874" max="4874" width="9.140625" style="248" customWidth="1"/>
    <col min="4875" max="4875" width="9.7109375" style="248" bestFit="1" customWidth="1"/>
    <col min="4876" max="4876" width="9.140625" style="248" customWidth="1"/>
    <col min="4877" max="4877" width="10" style="248" customWidth="1"/>
    <col min="4878" max="4878" width="8" style="248" customWidth="1"/>
    <col min="4879" max="5120" width="9.140625" style="248"/>
    <col min="5121" max="5121" width="24.42578125" style="248" customWidth="1"/>
    <col min="5122" max="5122" width="10.28515625" style="248" customWidth="1"/>
    <col min="5123" max="5123" width="11.5703125" style="248" customWidth="1"/>
    <col min="5124" max="5124" width="9" style="248" customWidth="1"/>
    <col min="5125" max="5125" width="9.28515625" style="248" bestFit="1" customWidth="1"/>
    <col min="5126" max="5126" width="10.28515625" style="248" customWidth="1"/>
    <col min="5127" max="5127" width="8.85546875" style="248" customWidth="1"/>
    <col min="5128" max="5128" width="9.42578125" style="248" customWidth="1"/>
    <col min="5129" max="5129" width="9.28515625" style="248" bestFit="1" customWidth="1"/>
    <col min="5130" max="5130" width="9.140625" style="248" customWidth="1"/>
    <col min="5131" max="5131" width="9.7109375" style="248" bestFit="1" customWidth="1"/>
    <col min="5132" max="5132" width="9.140625" style="248" customWidth="1"/>
    <col min="5133" max="5133" width="10" style="248" customWidth="1"/>
    <col min="5134" max="5134" width="8" style="248" customWidth="1"/>
    <col min="5135" max="5376" width="9.140625" style="248"/>
    <col min="5377" max="5377" width="24.42578125" style="248" customWidth="1"/>
    <col min="5378" max="5378" width="10.28515625" style="248" customWidth="1"/>
    <col min="5379" max="5379" width="11.5703125" style="248" customWidth="1"/>
    <col min="5380" max="5380" width="9" style="248" customWidth="1"/>
    <col min="5381" max="5381" width="9.28515625" style="248" bestFit="1" customWidth="1"/>
    <col min="5382" max="5382" width="10.28515625" style="248" customWidth="1"/>
    <col min="5383" max="5383" width="8.85546875" style="248" customWidth="1"/>
    <col min="5384" max="5384" width="9.42578125" style="248" customWidth="1"/>
    <col min="5385" max="5385" width="9.28515625" style="248" bestFit="1" customWidth="1"/>
    <col min="5386" max="5386" width="9.140625" style="248" customWidth="1"/>
    <col min="5387" max="5387" width="9.7109375" style="248" bestFit="1" customWidth="1"/>
    <col min="5388" max="5388" width="9.140625" style="248" customWidth="1"/>
    <col min="5389" max="5389" width="10" style="248" customWidth="1"/>
    <col min="5390" max="5390" width="8" style="248" customWidth="1"/>
    <col min="5391" max="5632" width="9.140625" style="248"/>
    <col min="5633" max="5633" width="24.42578125" style="248" customWidth="1"/>
    <col min="5634" max="5634" width="10.28515625" style="248" customWidth="1"/>
    <col min="5635" max="5635" width="11.5703125" style="248" customWidth="1"/>
    <col min="5636" max="5636" width="9" style="248" customWidth="1"/>
    <col min="5637" max="5637" width="9.28515625" style="248" bestFit="1" customWidth="1"/>
    <col min="5638" max="5638" width="10.28515625" style="248" customWidth="1"/>
    <col min="5639" max="5639" width="8.85546875" style="248" customWidth="1"/>
    <col min="5640" max="5640" width="9.42578125" style="248" customWidth="1"/>
    <col min="5641" max="5641" width="9.28515625" style="248" bestFit="1" customWidth="1"/>
    <col min="5642" max="5642" width="9.140625" style="248" customWidth="1"/>
    <col min="5643" max="5643" width="9.7109375" style="248" bestFit="1" customWidth="1"/>
    <col min="5644" max="5644" width="9.140625" style="248" customWidth="1"/>
    <col min="5645" max="5645" width="10" style="248" customWidth="1"/>
    <col min="5646" max="5646" width="8" style="248" customWidth="1"/>
    <col min="5647" max="5888" width="9.140625" style="248"/>
    <col min="5889" max="5889" width="24.42578125" style="248" customWidth="1"/>
    <col min="5890" max="5890" width="10.28515625" style="248" customWidth="1"/>
    <col min="5891" max="5891" width="11.5703125" style="248" customWidth="1"/>
    <col min="5892" max="5892" width="9" style="248" customWidth="1"/>
    <col min="5893" max="5893" width="9.28515625" style="248" bestFit="1" customWidth="1"/>
    <col min="5894" max="5894" width="10.28515625" style="248" customWidth="1"/>
    <col min="5895" max="5895" width="8.85546875" style="248" customWidth="1"/>
    <col min="5896" max="5896" width="9.42578125" style="248" customWidth="1"/>
    <col min="5897" max="5897" width="9.28515625" style="248" bestFit="1" customWidth="1"/>
    <col min="5898" max="5898" width="9.140625" style="248" customWidth="1"/>
    <col min="5899" max="5899" width="9.7109375" style="248" bestFit="1" customWidth="1"/>
    <col min="5900" max="5900" width="9.140625" style="248" customWidth="1"/>
    <col min="5901" max="5901" width="10" style="248" customWidth="1"/>
    <col min="5902" max="5902" width="8" style="248" customWidth="1"/>
    <col min="5903" max="6144" width="9.140625" style="248"/>
    <col min="6145" max="6145" width="24.42578125" style="248" customWidth="1"/>
    <col min="6146" max="6146" width="10.28515625" style="248" customWidth="1"/>
    <col min="6147" max="6147" width="11.5703125" style="248" customWidth="1"/>
    <col min="6148" max="6148" width="9" style="248" customWidth="1"/>
    <col min="6149" max="6149" width="9.28515625" style="248" bestFit="1" customWidth="1"/>
    <col min="6150" max="6150" width="10.28515625" style="248" customWidth="1"/>
    <col min="6151" max="6151" width="8.85546875" style="248" customWidth="1"/>
    <col min="6152" max="6152" width="9.42578125" style="248" customWidth="1"/>
    <col min="6153" max="6153" width="9.28515625" style="248" bestFit="1" customWidth="1"/>
    <col min="6154" max="6154" width="9.140625" style="248" customWidth="1"/>
    <col min="6155" max="6155" width="9.7109375" style="248" bestFit="1" customWidth="1"/>
    <col min="6156" max="6156" width="9.140625" style="248" customWidth="1"/>
    <col min="6157" max="6157" width="10" style="248" customWidth="1"/>
    <col min="6158" max="6158" width="8" style="248" customWidth="1"/>
    <col min="6159" max="6400" width="9.140625" style="248"/>
    <col min="6401" max="6401" width="24.42578125" style="248" customWidth="1"/>
    <col min="6402" max="6402" width="10.28515625" style="248" customWidth="1"/>
    <col min="6403" max="6403" width="11.5703125" style="248" customWidth="1"/>
    <col min="6404" max="6404" width="9" style="248" customWidth="1"/>
    <col min="6405" max="6405" width="9.28515625" style="248" bestFit="1" customWidth="1"/>
    <col min="6406" max="6406" width="10.28515625" style="248" customWidth="1"/>
    <col min="6407" max="6407" width="8.85546875" style="248" customWidth="1"/>
    <col min="6408" max="6408" width="9.42578125" style="248" customWidth="1"/>
    <col min="6409" max="6409" width="9.28515625" style="248" bestFit="1" customWidth="1"/>
    <col min="6410" max="6410" width="9.140625" style="248" customWidth="1"/>
    <col min="6411" max="6411" width="9.7109375" style="248" bestFit="1" customWidth="1"/>
    <col min="6412" max="6412" width="9.140625" style="248" customWidth="1"/>
    <col min="6413" max="6413" width="10" style="248" customWidth="1"/>
    <col min="6414" max="6414" width="8" style="248" customWidth="1"/>
    <col min="6415" max="6656" width="9.140625" style="248"/>
    <col min="6657" max="6657" width="24.42578125" style="248" customWidth="1"/>
    <col min="6658" max="6658" width="10.28515625" style="248" customWidth="1"/>
    <col min="6659" max="6659" width="11.5703125" style="248" customWidth="1"/>
    <col min="6660" max="6660" width="9" style="248" customWidth="1"/>
    <col min="6661" max="6661" width="9.28515625" style="248" bestFit="1" customWidth="1"/>
    <col min="6662" max="6662" width="10.28515625" style="248" customWidth="1"/>
    <col min="6663" max="6663" width="8.85546875" style="248" customWidth="1"/>
    <col min="6664" max="6664" width="9.42578125" style="248" customWidth="1"/>
    <col min="6665" max="6665" width="9.28515625" style="248" bestFit="1" customWidth="1"/>
    <col min="6666" max="6666" width="9.140625" style="248" customWidth="1"/>
    <col min="6667" max="6667" width="9.7109375" style="248" bestFit="1" customWidth="1"/>
    <col min="6668" max="6668" width="9.140625" style="248" customWidth="1"/>
    <col min="6669" max="6669" width="10" style="248" customWidth="1"/>
    <col min="6670" max="6670" width="8" style="248" customWidth="1"/>
    <col min="6671" max="6912" width="9.140625" style="248"/>
    <col min="6913" max="6913" width="24.42578125" style="248" customWidth="1"/>
    <col min="6914" max="6914" width="10.28515625" style="248" customWidth="1"/>
    <col min="6915" max="6915" width="11.5703125" style="248" customWidth="1"/>
    <col min="6916" max="6916" width="9" style="248" customWidth="1"/>
    <col min="6917" max="6917" width="9.28515625" style="248" bestFit="1" customWidth="1"/>
    <col min="6918" max="6918" width="10.28515625" style="248" customWidth="1"/>
    <col min="6919" max="6919" width="8.85546875" style="248" customWidth="1"/>
    <col min="6920" max="6920" width="9.42578125" style="248" customWidth="1"/>
    <col min="6921" max="6921" width="9.28515625" style="248" bestFit="1" customWidth="1"/>
    <col min="6922" max="6922" width="9.140625" style="248" customWidth="1"/>
    <col min="6923" max="6923" width="9.7109375" style="248" bestFit="1" customWidth="1"/>
    <col min="6924" max="6924" width="9.140625" style="248" customWidth="1"/>
    <col min="6925" max="6925" width="10" style="248" customWidth="1"/>
    <col min="6926" max="6926" width="8" style="248" customWidth="1"/>
    <col min="6927" max="7168" width="9.140625" style="248"/>
    <col min="7169" max="7169" width="24.42578125" style="248" customWidth="1"/>
    <col min="7170" max="7170" width="10.28515625" style="248" customWidth="1"/>
    <col min="7171" max="7171" width="11.5703125" style="248" customWidth="1"/>
    <col min="7172" max="7172" width="9" style="248" customWidth="1"/>
    <col min="7173" max="7173" width="9.28515625" style="248" bestFit="1" customWidth="1"/>
    <col min="7174" max="7174" width="10.28515625" style="248" customWidth="1"/>
    <col min="7175" max="7175" width="8.85546875" style="248" customWidth="1"/>
    <col min="7176" max="7176" width="9.42578125" style="248" customWidth="1"/>
    <col min="7177" max="7177" width="9.28515625" style="248" bestFit="1" customWidth="1"/>
    <col min="7178" max="7178" width="9.140625" style="248" customWidth="1"/>
    <col min="7179" max="7179" width="9.7109375" style="248" bestFit="1" customWidth="1"/>
    <col min="7180" max="7180" width="9.140625" style="248" customWidth="1"/>
    <col min="7181" max="7181" width="10" style="248" customWidth="1"/>
    <col min="7182" max="7182" width="8" style="248" customWidth="1"/>
    <col min="7183" max="7424" width="9.140625" style="248"/>
    <col min="7425" max="7425" width="24.42578125" style="248" customWidth="1"/>
    <col min="7426" max="7426" width="10.28515625" style="248" customWidth="1"/>
    <col min="7427" max="7427" width="11.5703125" style="248" customWidth="1"/>
    <col min="7428" max="7428" width="9" style="248" customWidth="1"/>
    <col min="7429" max="7429" width="9.28515625" style="248" bestFit="1" customWidth="1"/>
    <col min="7430" max="7430" width="10.28515625" style="248" customWidth="1"/>
    <col min="7431" max="7431" width="8.85546875" style="248" customWidth="1"/>
    <col min="7432" max="7432" width="9.42578125" style="248" customWidth="1"/>
    <col min="7433" max="7433" width="9.28515625" style="248" bestFit="1" customWidth="1"/>
    <col min="7434" max="7434" width="9.140625" style="248" customWidth="1"/>
    <col min="7435" max="7435" width="9.7109375" style="248" bestFit="1" customWidth="1"/>
    <col min="7436" max="7436" width="9.140625" style="248" customWidth="1"/>
    <col min="7437" max="7437" width="10" style="248" customWidth="1"/>
    <col min="7438" max="7438" width="8" style="248" customWidth="1"/>
    <col min="7439" max="7680" width="9.140625" style="248"/>
    <col min="7681" max="7681" width="24.42578125" style="248" customWidth="1"/>
    <col min="7682" max="7682" width="10.28515625" style="248" customWidth="1"/>
    <col min="7683" max="7683" width="11.5703125" style="248" customWidth="1"/>
    <col min="7684" max="7684" width="9" style="248" customWidth="1"/>
    <col min="7685" max="7685" width="9.28515625" style="248" bestFit="1" customWidth="1"/>
    <col min="7686" max="7686" width="10.28515625" style="248" customWidth="1"/>
    <col min="7687" max="7687" width="8.85546875" style="248" customWidth="1"/>
    <col min="7688" max="7688" width="9.42578125" style="248" customWidth="1"/>
    <col min="7689" max="7689" width="9.28515625" style="248" bestFit="1" customWidth="1"/>
    <col min="7690" max="7690" width="9.140625" style="248" customWidth="1"/>
    <col min="7691" max="7691" width="9.7109375" style="248" bestFit="1" customWidth="1"/>
    <col min="7692" max="7692" width="9.140625" style="248" customWidth="1"/>
    <col min="7693" max="7693" width="10" style="248" customWidth="1"/>
    <col min="7694" max="7694" width="8" style="248" customWidth="1"/>
    <col min="7695" max="7936" width="9.140625" style="248"/>
    <col min="7937" max="7937" width="24.42578125" style="248" customWidth="1"/>
    <col min="7938" max="7938" width="10.28515625" style="248" customWidth="1"/>
    <col min="7939" max="7939" width="11.5703125" style="248" customWidth="1"/>
    <col min="7940" max="7940" width="9" style="248" customWidth="1"/>
    <col min="7941" max="7941" width="9.28515625" style="248" bestFit="1" customWidth="1"/>
    <col min="7942" max="7942" width="10.28515625" style="248" customWidth="1"/>
    <col min="7943" max="7943" width="8.85546875" style="248" customWidth="1"/>
    <col min="7944" max="7944" width="9.42578125" style="248" customWidth="1"/>
    <col min="7945" max="7945" width="9.28515625" style="248" bestFit="1" customWidth="1"/>
    <col min="7946" max="7946" width="9.140625" style="248" customWidth="1"/>
    <col min="7947" max="7947" width="9.7109375" style="248" bestFit="1" customWidth="1"/>
    <col min="7948" max="7948" width="9.140625" style="248" customWidth="1"/>
    <col min="7949" max="7949" width="10" style="248" customWidth="1"/>
    <col min="7950" max="7950" width="8" style="248" customWidth="1"/>
    <col min="7951" max="8192" width="9.140625" style="248"/>
    <col min="8193" max="8193" width="24.42578125" style="248" customWidth="1"/>
    <col min="8194" max="8194" width="10.28515625" style="248" customWidth="1"/>
    <col min="8195" max="8195" width="11.5703125" style="248" customWidth="1"/>
    <col min="8196" max="8196" width="9" style="248" customWidth="1"/>
    <col min="8197" max="8197" width="9.28515625" style="248" bestFit="1" customWidth="1"/>
    <col min="8198" max="8198" width="10.28515625" style="248" customWidth="1"/>
    <col min="8199" max="8199" width="8.85546875" style="248" customWidth="1"/>
    <col min="8200" max="8200" width="9.42578125" style="248" customWidth="1"/>
    <col min="8201" max="8201" width="9.28515625" style="248" bestFit="1" customWidth="1"/>
    <col min="8202" max="8202" width="9.140625" style="248" customWidth="1"/>
    <col min="8203" max="8203" width="9.7109375" style="248" bestFit="1" customWidth="1"/>
    <col min="8204" max="8204" width="9.140625" style="248" customWidth="1"/>
    <col min="8205" max="8205" width="10" style="248" customWidth="1"/>
    <col min="8206" max="8206" width="8" style="248" customWidth="1"/>
    <col min="8207" max="8448" width="9.140625" style="248"/>
    <col min="8449" max="8449" width="24.42578125" style="248" customWidth="1"/>
    <col min="8450" max="8450" width="10.28515625" style="248" customWidth="1"/>
    <col min="8451" max="8451" width="11.5703125" style="248" customWidth="1"/>
    <col min="8452" max="8452" width="9" style="248" customWidth="1"/>
    <col min="8453" max="8453" width="9.28515625" style="248" bestFit="1" customWidth="1"/>
    <col min="8454" max="8454" width="10.28515625" style="248" customWidth="1"/>
    <col min="8455" max="8455" width="8.85546875" style="248" customWidth="1"/>
    <col min="8456" max="8456" width="9.42578125" style="248" customWidth="1"/>
    <col min="8457" max="8457" width="9.28515625" style="248" bestFit="1" customWidth="1"/>
    <col min="8458" max="8458" width="9.140625" style="248" customWidth="1"/>
    <col min="8459" max="8459" width="9.7109375" style="248" bestFit="1" customWidth="1"/>
    <col min="8460" max="8460" width="9.140625" style="248" customWidth="1"/>
    <col min="8461" max="8461" width="10" style="248" customWidth="1"/>
    <col min="8462" max="8462" width="8" style="248" customWidth="1"/>
    <col min="8463" max="8704" width="9.140625" style="248"/>
    <col min="8705" max="8705" width="24.42578125" style="248" customWidth="1"/>
    <col min="8706" max="8706" width="10.28515625" style="248" customWidth="1"/>
    <col min="8707" max="8707" width="11.5703125" style="248" customWidth="1"/>
    <col min="8708" max="8708" width="9" style="248" customWidth="1"/>
    <col min="8709" max="8709" width="9.28515625" style="248" bestFit="1" customWidth="1"/>
    <col min="8710" max="8710" width="10.28515625" style="248" customWidth="1"/>
    <col min="8711" max="8711" width="8.85546875" style="248" customWidth="1"/>
    <col min="8712" max="8712" width="9.42578125" style="248" customWidth="1"/>
    <col min="8713" max="8713" width="9.28515625" style="248" bestFit="1" customWidth="1"/>
    <col min="8714" max="8714" width="9.140625" style="248" customWidth="1"/>
    <col min="8715" max="8715" width="9.7109375" style="248" bestFit="1" customWidth="1"/>
    <col min="8716" max="8716" width="9.140625" style="248" customWidth="1"/>
    <col min="8717" max="8717" width="10" style="248" customWidth="1"/>
    <col min="8718" max="8718" width="8" style="248" customWidth="1"/>
    <col min="8719" max="8960" width="9.140625" style="248"/>
    <col min="8961" max="8961" width="24.42578125" style="248" customWidth="1"/>
    <col min="8962" max="8962" width="10.28515625" style="248" customWidth="1"/>
    <col min="8963" max="8963" width="11.5703125" style="248" customWidth="1"/>
    <col min="8964" max="8964" width="9" style="248" customWidth="1"/>
    <col min="8965" max="8965" width="9.28515625" style="248" bestFit="1" customWidth="1"/>
    <col min="8966" max="8966" width="10.28515625" style="248" customWidth="1"/>
    <col min="8967" max="8967" width="8.85546875" style="248" customWidth="1"/>
    <col min="8968" max="8968" width="9.42578125" style="248" customWidth="1"/>
    <col min="8969" max="8969" width="9.28515625" style="248" bestFit="1" customWidth="1"/>
    <col min="8970" max="8970" width="9.140625" style="248" customWidth="1"/>
    <col min="8971" max="8971" width="9.7109375" style="248" bestFit="1" customWidth="1"/>
    <col min="8972" max="8972" width="9.140625" style="248" customWidth="1"/>
    <col min="8973" max="8973" width="10" style="248" customWidth="1"/>
    <col min="8974" max="8974" width="8" style="248" customWidth="1"/>
    <col min="8975" max="9216" width="9.140625" style="248"/>
    <col min="9217" max="9217" width="24.42578125" style="248" customWidth="1"/>
    <col min="9218" max="9218" width="10.28515625" style="248" customWidth="1"/>
    <col min="9219" max="9219" width="11.5703125" style="248" customWidth="1"/>
    <col min="9220" max="9220" width="9" style="248" customWidth="1"/>
    <col min="9221" max="9221" width="9.28515625" style="248" bestFit="1" customWidth="1"/>
    <col min="9222" max="9222" width="10.28515625" style="248" customWidth="1"/>
    <col min="9223" max="9223" width="8.85546875" style="248" customWidth="1"/>
    <col min="9224" max="9224" width="9.42578125" style="248" customWidth="1"/>
    <col min="9225" max="9225" width="9.28515625" style="248" bestFit="1" customWidth="1"/>
    <col min="9226" max="9226" width="9.140625" style="248" customWidth="1"/>
    <col min="9227" max="9227" width="9.7109375" style="248" bestFit="1" customWidth="1"/>
    <col min="9228" max="9228" width="9.140625" style="248" customWidth="1"/>
    <col min="9229" max="9229" width="10" style="248" customWidth="1"/>
    <col min="9230" max="9230" width="8" style="248" customWidth="1"/>
    <col min="9231" max="9472" width="9.140625" style="248"/>
    <col min="9473" max="9473" width="24.42578125" style="248" customWidth="1"/>
    <col min="9474" max="9474" width="10.28515625" style="248" customWidth="1"/>
    <col min="9475" max="9475" width="11.5703125" style="248" customWidth="1"/>
    <col min="9476" max="9476" width="9" style="248" customWidth="1"/>
    <col min="9477" max="9477" width="9.28515625" style="248" bestFit="1" customWidth="1"/>
    <col min="9478" max="9478" width="10.28515625" style="248" customWidth="1"/>
    <col min="9479" max="9479" width="8.85546875" style="248" customWidth="1"/>
    <col min="9480" max="9480" width="9.42578125" style="248" customWidth="1"/>
    <col min="9481" max="9481" width="9.28515625" style="248" bestFit="1" customWidth="1"/>
    <col min="9482" max="9482" width="9.140625" style="248" customWidth="1"/>
    <col min="9483" max="9483" width="9.7109375" style="248" bestFit="1" customWidth="1"/>
    <col min="9484" max="9484" width="9.140625" style="248" customWidth="1"/>
    <col min="9485" max="9485" width="10" style="248" customWidth="1"/>
    <col min="9486" max="9486" width="8" style="248" customWidth="1"/>
    <col min="9487" max="9728" width="9.140625" style="248"/>
    <col min="9729" max="9729" width="24.42578125" style="248" customWidth="1"/>
    <col min="9730" max="9730" width="10.28515625" style="248" customWidth="1"/>
    <col min="9731" max="9731" width="11.5703125" style="248" customWidth="1"/>
    <col min="9732" max="9732" width="9" style="248" customWidth="1"/>
    <col min="9733" max="9733" width="9.28515625" style="248" bestFit="1" customWidth="1"/>
    <col min="9734" max="9734" width="10.28515625" style="248" customWidth="1"/>
    <col min="9735" max="9735" width="8.85546875" style="248" customWidth="1"/>
    <col min="9736" max="9736" width="9.42578125" style="248" customWidth="1"/>
    <col min="9737" max="9737" width="9.28515625" style="248" bestFit="1" customWidth="1"/>
    <col min="9738" max="9738" width="9.140625" style="248" customWidth="1"/>
    <col min="9739" max="9739" width="9.7109375" style="248" bestFit="1" customWidth="1"/>
    <col min="9740" max="9740" width="9.140625" style="248" customWidth="1"/>
    <col min="9741" max="9741" width="10" style="248" customWidth="1"/>
    <col min="9742" max="9742" width="8" style="248" customWidth="1"/>
    <col min="9743" max="9984" width="9.140625" style="248"/>
    <col min="9985" max="9985" width="24.42578125" style="248" customWidth="1"/>
    <col min="9986" max="9986" width="10.28515625" style="248" customWidth="1"/>
    <col min="9987" max="9987" width="11.5703125" style="248" customWidth="1"/>
    <col min="9988" max="9988" width="9" style="248" customWidth="1"/>
    <col min="9989" max="9989" width="9.28515625" style="248" bestFit="1" customWidth="1"/>
    <col min="9990" max="9990" width="10.28515625" style="248" customWidth="1"/>
    <col min="9991" max="9991" width="8.85546875" style="248" customWidth="1"/>
    <col min="9992" max="9992" width="9.42578125" style="248" customWidth="1"/>
    <col min="9993" max="9993" width="9.28515625" style="248" bestFit="1" customWidth="1"/>
    <col min="9994" max="9994" width="9.140625" style="248" customWidth="1"/>
    <col min="9995" max="9995" width="9.7109375" style="248" bestFit="1" customWidth="1"/>
    <col min="9996" max="9996" width="9.140625" style="248" customWidth="1"/>
    <col min="9997" max="9997" width="10" style="248" customWidth="1"/>
    <col min="9998" max="9998" width="8" style="248" customWidth="1"/>
    <col min="9999" max="10240" width="9.140625" style="248"/>
    <col min="10241" max="10241" width="24.42578125" style="248" customWidth="1"/>
    <col min="10242" max="10242" width="10.28515625" style="248" customWidth="1"/>
    <col min="10243" max="10243" width="11.5703125" style="248" customWidth="1"/>
    <col min="10244" max="10244" width="9" style="248" customWidth="1"/>
    <col min="10245" max="10245" width="9.28515625" style="248" bestFit="1" customWidth="1"/>
    <col min="10246" max="10246" width="10.28515625" style="248" customWidth="1"/>
    <col min="10247" max="10247" width="8.85546875" style="248" customWidth="1"/>
    <col min="10248" max="10248" width="9.42578125" style="248" customWidth="1"/>
    <col min="10249" max="10249" width="9.28515625" style="248" bestFit="1" customWidth="1"/>
    <col min="10250" max="10250" width="9.140625" style="248" customWidth="1"/>
    <col min="10251" max="10251" width="9.7109375" style="248" bestFit="1" customWidth="1"/>
    <col min="10252" max="10252" width="9.140625" style="248" customWidth="1"/>
    <col min="10253" max="10253" width="10" style="248" customWidth="1"/>
    <col min="10254" max="10254" width="8" style="248" customWidth="1"/>
    <col min="10255" max="10496" width="9.140625" style="248"/>
    <col min="10497" max="10497" width="24.42578125" style="248" customWidth="1"/>
    <col min="10498" max="10498" width="10.28515625" style="248" customWidth="1"/>
    <col min="10499" max="10499" width="11.5703125" style="248" customWidth="1"/>
    <col min="10500" max="10500" width="9" style="248" customWidth="1"/>
    <col min="10501" max="10501" width="9.28515625" style="248" bestFit="1" customWidth="1"/>
    <col min="10502" max="10502" width="10.28515625" style="248" customWidth="1"/>
    <col min="10503" max="10503" width="8.85546875" style="248" customWidth="1"/>
    <col min="10504" max="10504" width="9.42578125" style="248" customWidth="1"/>
    <col min="10505" max="10505" width="9.28515625" style="248" bestFit="1" customWidth="1"/>
    <col min="10506" max="10506" width="9.140625" style="248" customWidth="1"/>
    <col min="10507" max="10507" width="9.7109375" style="248" bestFit="1" customWidth="1"/>
    <col min="10508" max="10508" width="9.140625" style="248" customWidth="1"/>
    <col min="10509" max="10509" width="10" style="248" customWidth="1"/>
    <col min="10510" max="10510" width="8" style="248" customWidth="1"/>
    <col min="10511" max="10752" width="9.140625" style="248"/>
    <col min="10753" max="10753" width="24.42578125" style="248" customWidth="1"/>
    <col min="10754" max="10754" width="10.28515625" style="248" customWidth="1"/>
    <col min="10755" max="10755" width="11.5703125" style="248" customWidth="1"/>
    <col min="10756" max="10756" width="9" style="248" customWidth="1"/>
    <col min="10757" max="10757" width="9.28515625" style="248" bestFit="1" customWidth="1"/>
    <col min="10758" max="10758" width="10.28515625" style="248" customWidth="1"/>
    <col min="10759" max="10759" width="8.85546875" style="248" customWidth="1"/>
    <col min="10760" max="10760" width="9.42578125" style="248" customWidth="1"/>
    <col min="10761" max="10761" width="9.28515625" style="248" bestFit="1" customWidth="1"/>
    <col min="10762" max="10762" width="9.140625" style="248" customWidth="1"/>
    <col min="10763" max="10763" width="9.7109375" style="248" bestFit="1" customWidth="1"/>
    <col min="10764" max="10764" width="9.140625" style="248" customWidth="1"/>
    <col min="10765" max="10765" width="10" style="248" customWidth="1"/>
    <col min="10766" max="10766" width="8" style="248" customWidth="1"/>
    <col min="10767" max="11008" width="9.140625" style="248"/>
    <col min="11009" max="11009" width="24.42578125" style="248" customWidth="1"/>
    <col min="11010" max="11010" width="10.28515625" style="248" customWidth="1"/>
    <col min="11011" max="11011" width="11.5703125" style="248" customWidth="1"/>
    <col min="11012" max="11012" width="9" style="248" customWidth="1"/>
    <col min="11013" max="11013" width="9.28515625" style="248" bestFit="1" customWidth="1"/>
    <col min="11014" max="11014" width="10.28515625" style="248" customWidth="1"/>
    <col min="11015" max="11015" width="8.85546875" style="248" customWidth="1"/>
    <col min="11016" max="11016" width="9.42578125" style="248" customWidth="1"/>
    <col min="11017" max="11017" width="9.28515625" style="248" bestFit="1" customWidth="1"/>
    <col min="11018" max="11018" width="9.140625" style="248" customWidth="1"/>
    <col min="11019" max="11019" width="9.7109375" style="248" bestFit="1" customWidth="1"/>
    <col min="11020" max="11020" width="9.140625" style="248" customWidth="1"/>
    <col min="11021" max="11021" width="10" style="248" customWidth="1"/>
    <col min="11022" max="11022" width="8" style="248" customWidth="1"/>
    <col min="11023" max="11264" width="9.140625" style="248"/>
    <col min="11265" max="11265" width="24.42578125" style="248" customWidth="1"/>
    <col min="11266" max="11266" width="10.28515625" style="248" customWidth="1"/>
    <col min="11267" max="11267" width="11.5703125" style="248" customWidth="1"/>
    <col min="11268" max="11268" width="9" style="248" customWidth="1"/>
    <col min="11269" max="11269" width="9.28515625" style="248" bestFit="1" customWidth="1"/>
    <col min="11270" max="11270" width="10.28515625" style="248" customWidth="1"/>
    <col min="11271" max="11271" width="8.85546875" style="248" customWidth="1"/>
    <col min="11272" max="11272" width="9.42578125" style="248" customWidth="1"/>
    <col min="11273" max="11273" width="9.28515625" style="248" bestFit="1" customWidth="1"/>
    <col min="11274" max="11274" width="9.140625" style="248" customWidth="1"/>
    <col min="11275" max="11275" width="9.7109375" style="248" bestFit="1" customWidth="1"/>
    <col min="11276" max="11276" width="9.140625" style="248" customWidth="1"/>
    <col min="11277" max="11277" width="10" style="248" customWidth="1"/>
    <col min="11278" max="11278" width="8" style="248" customWidth="1"/>
    <col min="11279" max="11520" width="9.140625" style="248"/>
    <col min="11521" max="11521" width="24.42578125" style="248" customWidth="1"/>
    <col min="11522" max="11522" width="10.28515625" style="248" customWidth="1"/>
    <col min="11523" max="11523" width="11.5703125" style="248" customWidth="1"/>
    <col min="11524" max="11524" width="9" style="248" customWidth="1"/>
    <col min="11525" max="11525" width="9.28515625" style="248" bestFit="1" customWidth="1"/>
    <col min="11526" max="11526" width="10.28515625" style="248" customWidth="1"/>
    <col min="11527" max="11527" width="8.85546875" style="248" customWidth="1"/>
    <col min="11528" max="11528" width="9.42578125" style="248" customWidth="1"/>
    <col min="11529" max="11529" width="9.28515625" style="248" bestFit="1" customWidth="1"/>
    <col min="11530" max="11530" width="9.140625" style="248" customWidth="1"/>
    <col min="11531" max="11531" width="9.7109375" style="248" bestFit="1" customWidth="1"/>
    <col min="11532" max="11532" width="9.140625" style="248" customWidth="1"/>
    <col min="11533" max="11533" width="10" style="248" customWidth="1"/>
    <col min="11534" max="11534" width="8" style="248" customWidth="1"/>
    <col min="11535" max="11776" width="9.140625" style="248"/>
    <col min="11777" max="11777" width="24.42578125" style="248" customWidth="1"/>
    <col min="11778" max="11778" width="10.28515625" style="248" customWidth="1"/>
    <col min="11779" max="11779" width="11.5703125" style="248" customWidth="1"/>
    <col min="11780" max="11780" width="9" style="248" customWidth="1"/>
    <col min="11781" max="11781" width="9.28515625" style="248" bestFit="1" customWidth="1"/>
    <col min="11782" max="11782" width="10.28515625" style="248" customWidth="1"/>
    <col min="11783" max="11783" width="8.85546875" style="248" customWidth="1"/>
    <col min="11784" max="11784" width="9.42578125" style="248" customWidth="1"/>
    <col min="11785" max="11785" width="9.28515625" style="248" bestFit="1" customWidth="1"/>
    <col min="11786" max="11786" width="9.140625" style="248" customWidth="1"/>
    <col min="11787" max="11787" width="9.7109375" style="248" bestFit="1" customWidth="1"/>
    <col min="11788" max="11788" width="9.140625" style="248" customWidth="1"/>
    <col min="11789" max="11789" width="10" style="248" customWidth="1"/>
    <col min="11790" max="11790" width="8" style="248" customWidth="1"/>
    <col min="11791" max="12032" width="9.140625" style="248"/>
    <col min="12033" max="12033" width="24.42578125" style="248" customWidth="1"/>
    <col min="12034" max="12034" width="10.28515625" style="248" customWidth="1"/>
    <col min="12035" max="12035" width="11.5703125" style="248" customWidth="1"/>
    <col min="12036" max="12036" width="9" style="248" customWidth="1"/>
    <col min="12037" max="12037" width="9.28515625" style="248" bestFit="1" customWidth="1"/>
    <col min="12038" max="12038" width="10.28515625" style="248" customWidth="1"/>
    <col min="12039" max="12039" width="8.85546875" style="248" customWidth="1"/>
    <col min="12040" max="12040" width="9.42578125" style="248" customWidth="1"/>
    <col min="12041" max="12041" width="9.28515625" style="248" bestFit="1" customWidth="1"/>
    <col min="12042" max="12042" width="9.140625" style="248" customWidth="1"/>
    <col min="12043" max="12043" width="9.7109375" style="248" bestFit="1" customWidth="1"/>
    <col min="12044" max="12044" width="9.140625" style="248" customWidth="1"/>
    <col min="12045" max="12045" width="10" style="248" customWidth="1"/>
    <col min="12046" max="12046" width="8" style="248" customWidth="1"/>
    <col min="12047" max="12288" width="9.140625" style="248"/>
    <col min="12289" max="12289" width="24.42578125" style="248" customWidth="1"/>
    <col min="12290" max="12290" width="10.28515625" style="248" customWidth="1"/>
    <col min="12291" max="12291" width="11.5703125" style="248" customWidth="1"/>
    <col min="12292" max="12292" width="9" style="248" customWidth="1"/>
    <col min="12293" max="12293" width="9.28515625" style="248" bestFit="1" customWidth="1"/>
    <col min="12294" max="12294" width="10.28515625" style="248" customWidth="1"/>
    <col min="12295" max="12295" width="8.85546875" style="248" customWidth="1"/>
    <col min="12296" max="12296" width="9.42578125" style="248" customWidth="1"/>
    <col min="12297" max="12297" width="9.28515625" style="248" bestFit="1" customWidth="1"/>
    <col min="12298" max="12298" width="9.140625" style="248" customWidth="1"/>
    <col min="12299" max="12299" width="9.7109375" style="248" bestFit="1" customWidth="1"/>
    <col min="12300" max="12300" width="9.140625" style="248" customWidth="1"/>
    <col min="12301" max="12301" width="10" style="248" customWidth="1"/>
    <col min="12302" max="12302" width="8" style="248" customWidth="1"/>
    <col min="12303" max="12544" width="9.140625" style="248"/>
    <col min="12545" max="12545" width="24.42578125" style="248" customWidth="1"/>
    <col min="12546" max="12546" width="10.28515625" style="248" customWidth="1"/>
    <col min="12547" max="12547" width="11.5703125" style="248" customWidth="1"/>
    <col min="12548" max="12548" width="9" style="248" customWidth="1"/>
    <col min="12549" max="12549" width="9.28515625" style="248" bestFit="1" customWidth="1"/>
    <col min="12550" max="12550" width="10.28515625" style="248" customWidth="1"/>
    <col min="12551" max="12551" width="8.85546875" style="248" customWidth="1"/>
    <col min="12552" max="12552" width="9.42578125" style="248" customWidth="1"/>
    <col min="12553" max="12553" width="9.28515625" style="248" bestFit="1" customWidth="1"/>
    <col min="12554" max="12554" width="9.140625" style="248" customWidth="1"/>
    <col min="12555" max="12555" width="9.7109375" style="248" bestFit="1" customWidth="1"/>
    <col min="12556" max="12556" width="9.140625" style="248" customWidth="1"/>
    <col min="12557" max="12557" width="10" style="248" customWidth="1"/>
    <col min="12558" max="12558" width="8" style="248" customWidth="1"/>
    <col min="12559" max="12800" width="9.140625" style="248"/>
    <col min="12801" max="12801" width="24.42578125" style="248" customWidth="1"/>
    <col min="12802" max="12802" width="10.28515625" style="248" customWidth="1"/>
    <col min="12803" max="12803" width="11.5703125" style="248" customWidth="1"/>
    <col min="12804" max="12804" width="9" style="248" customWidth="1"/>
    <col min="12805" max="12805" width="9.28515625" style="248" bestFit="1" customWidth="1"/>
    <col min="12806" max="12806" width="10.28515625" style="248" customWidth="1"/>
    <col min="12807" max="12807" width="8.85546875" style="248" customWidth="1"/>
    <col min="12808" max="12808" width="9.42578125" style="248" customWidth="1"/>
    <col min="12809" max="12809" width="9.28515625" style="248" bestFit="1" customWidth="1"/>
    <col min="12810" max="12810" width="9.140625" style="248" customWidth="1"/>
    <col min="12811" max="12811" width="9.7109375" style="248" bestFit="1" customWidth="1"/>
    <col min="12812" max="12812" width="9.140625" style="248" customWidth="1"/>
    <col min="12813" max="12813" width="10" style="248" customWidth="1"/>
    <col min="12814" max="12814" width="8" style="248" customWidth="1"/>
    <col min="12815" max="13056" width="9.140625" style="248"/>
    <col min="13057" max="13057" width="24.42578125" style="248" customWidth="1"/>
    <col min="13058" max="13058" width="10.28515625" style="248" customWidth="1"/>
    <col min="13059" max="13059" width="11.5703125" style="248" customWidth="1"/>
    <col min="13060" max="13060" width="9" style="248" customWidth="1"/>
    <col min="13061" max="13061" width="9.28515625" style="248" bestFit="1" customWidth="1"/>
    <col min="13062" max="13062" width="10.28515625" style="248" customWidth="1"/>
    <col min="13063" max="13063" width="8.85546875" style="248" customWidth="1"/>
    <col min="13064" max="13064" width="9.42578125" style="248" customWidth="1"/>
    <col min="13065" max="13065" width="9.28515625" style="248" bestFit="1" customWidth="1"/>
    <col min="13066" max="13066" width="9.140625" style="248" customWidth="1"/>
    <col min="13067" max="13067" width="9.7109375" style="248" bestFit="1" customWidth="1"/>
    <col min="13068" max="13068" width="9.140625" style="248" customWidth="1"/>
    <col min="13069" max="13069" width="10" style="248" customWidth="1"/>
    <col min="13070" max="13070" width="8" style="248" customWidth="1"/>
    <col min="13071" max="13312" width="9.140625" style="248"/>
    <col min="13313" max="13313" width="24.42578125" style="248" customWidth="1"/>
    <col min="13314" max="13314" width="10.28515625" style="248" customWidth="1"/>
    <col min="13315" max="13315" width="11.5703125" style="248" customWidth="1"/>
    <col min="13316" max="13316" width="9" style="248" customWidth="1"/>
    <col min="13317" max="13317" width="9.28515625" style="248" bestFit="1" customWidth="1"/>
    <col min="13318" max="13318" width="10.28515625" style="248" customWidth="1"/>
    <col min="13319" max="13319" width="8.85546875" style="248" customWidth="1"/>
    <col min="13320" max="13320" width="9.42578125" style="248" customWidth="1"/>
    <col min="13321" max="13321" width="9.28515625" style="248" bestFit="1" customWidth="1"/>
    <col min="13322" max="13322" width="9.140625" style="248" customWidth="1"/>
    <col min="13323" max="13323" width="9.7109375" style="248" bestFit="1" customWidth="1"/>
    <col min="13324" max="13324" width="9.140625" style="248" customWidth="1"/>
    <col min="13325" max="13325" width="10" style="248" customWidth="1"/>
    <col min="13326" max="13326" width="8" style="248" customWidth="1"/>
    <col min="13327" max="13568" width="9.140625" style="248"/>
    <col min="13569" max="13569" width="24.42578125" style="248" customWidth="1"/>
    <col min="13570" max="13570" width="10.28515625" style="248" customWidth="1"/>
    <col min="13571" max="13571" width="11.5703125" style="248" customWidth="1"/>
    <col min="13572" max="13572" width="9" style="248" customWidth="1"/>
    <col min="13573" max="13573" width="9.28515625" style="248" bestFit="1" customWidth="1"/>
    <col min="13574" max="13574" width="10.28515625" style="248" customWidth="1"/>
    <col min="13575" max="13575" width="8.85546875" style="248" customWidth="1"/>
    <col min="13576" max="13576" width="9.42578125" style="248" customWidth="1"/>
    <col min="13577" max="13577" width="9.28515625" style="248" bestFit="1" customWidth="1"/>
    <col min="13578" max="13578" width="9.140625" style="248" customWidth="1"/>
    <col min="13579" max="13579" width="9.7109375" style="248" bestFit="1" customWidth="1"/>
    <col min="13580" max="13580" width="9.140625" style="248" customWidth="1"/>
    <col min="13581" max="13581" width="10" style="248" customWidth="1"/>
    <col min="13582" max="13582" width="8" style="248" customWidth="1"/>
    <col min="13583" max="13824" width="9.140625" style="248"/>
    <col min="13825" max="13825" width="24.42578125" style="248" customWidth="1"/>
    <col min="13826" max="13826" width="10.28515625" style="248" customWidth="1"/>
    <col min="13827" max="13827" width="11.5703125" style="248" customWidth="1"/>
    <col min="13828" max="13828" width="9" style="248" customWidth="1"/>
    <col min="13829" max="13829" width="9.28515625" style="248" bestFit="1" customWidth="1"/>
    <col min="13830" max="13830" width="10.28515625" style="248" customWidth="1"/>
    <col min="13831" max="13831" width="8.85546875" style="248" customWidth="1"/>
    <col min="13832" max="13832" width="9.42578125" style="248" customWidth="1"/>
    <col min="13833" max="13833" width="9.28515625" style="248" bestFit="1" customWidth="1"/>
    <col min="13834" max="13834" width="9.140625" style="248" customWidth="1"/>
    <col min="13835" max="13835" width="9.7109375" style="248" bestFit="1" customWidth="1"/>
    <col min="13836" max="13836" width="9.140625" style="248" customWidth="1"/>
    <col min="13837" max="13837" width="10" style="248" customWidth="1"/>
    <col min="13838" max="13838" width="8" style="248" customWidth="1"/>
    <col min="13839" max="14080" width="9.140625" style="248"/>
    <col min="14081" max="14081" width="24.42578125" style="248" customWidth="1"/>
    <col min="14082" max="14082" width="10.28515625" style="248" customWidth="1"/>
    <col min="14083" max="14083" width="11.5703125" style="248" customWidth="1"/>
    <col min="14084" max="14084" width="9" style="248" customWidth="1"/>
    <col min="14085" max="14085" width="9.28515625" style="248" bestFit="1" customWidth="1"/>
    <col min="14086" max="14086" width="10.28515625" style="248" customWidth="1"/>
    <col min="14087" max="14087" width="8.85546875" style="248" customWidth="1"/>
    <col min="14088" max="14088" width="9.42578125" style="248" customWidth="1"/>
    <col min="14089" max="14089" width="9.28515625" style="248" bestFit="1" customWidth="1"/>
    <col min="14090" max="14090" width="9.140625" style="248" customWidth="1"/>
    <col min="14091" max="14091" width="9.7109375" style="248" bestFit="1" customWidth="1"/>
    <col min="14092" max="14092" width="9.140625" style="248" customWidth="1"/>
    <col min="14093" max="14093" width="10" style="248" customWidth="1"/>
    <col min="14094" max="14094" width="8" style="248" customWidth="1"/>
    <col min="14095" max="14336" width="9.140625" style="248"/>
    <col min="14337" max="14337" width="24.42578125" style="248" customWidth="1"/>
    <col min="14338" max="14338" width="10.28515625" style="248" customWidth="1"/>
    <col min="14339" max="14339" width="11.5703125" style="248" customWidth="1"/>
    <col min="14340" max="14340" width="9" style="248" customWidth="1"/>
    <col min="14341" max="14341" width="9.28515625" style="248" bestFit="1" customWidth="1"/>
    <col min="14342" max="14342" width="10.28515625" style="248" customWidth="1"/>
    <col min="14343" max="14343" width="8.85546875" style="248" customWidth="1"/>
    <col min="14344" max="14344" width="9.42578125" style="248" customWidth="1"/>
    <col min="14345" max="14345" width="9.28515625" style="248" bestFit="1" customWidth="1"/>
    <col min="14346" max="14346" width="9.140625" style="248" customWidth="1"/>
    <col min="14347" max="14347" width="9.7109375" style="248" bestFit="1" customWidth="1"/>
    <col min="14348" max="14348" width="9.140625" style="248" customWidth="1"/>
    <col min="14349" max="14349" width="10" style="248" customWidth="1"/>
    <col min="14350" max="14350" width="8" style="248" customWidth="1"/>
    <col min="14351" max="14592" width="9.140625" style="248"/>
    <col min="14593" max="14593" width="24.42578125" style="248" customWidth="1"/>
    <col min="14594" max="14594" width="10.28515625" style="248" customWidth="1"/>
    <col min="14595" max="14595" width="11.5703125" style="248" customWidth="1"/>
    <col min="14596" max="14596" width="9" style="248" customWidth="1"/>
    <col min="14597" max="14597" width="9.28515625" style="248" bestFit="1" customWidth="1"/>
    <col min="14598" max="14598" width="10.28515625" style="248" customWidth="1"/>
    <col min="14599" max="14599" width="8.85546875" style="248" customWidth="1"/>
    <col min="14600" max="14600" width="9.42578125" style="248" customWidth="1"/>
    <col min="14601" max="14601" width="9.28515625" style="248" bestFit="1" customWidth="1"/>
    <col min="14602" max="14602" width="9.140625" style="248" customWidth="1"/>
    <col min="14603" max="14603" width="9.7109375" style="248" bestFit="1" customWidth="1"/>
    <col min="14604" max="14604" width="9.140625" style="248" customWidth="1"/>
    <col min="14605" max="14605" width="10" style="248" customWidth="1"/>
    <col min="14606" max="14606" width="8" style="248" customWidth="1"/>
    <col min="14607" max="14848" width="9.140625" style="248"/>
    <col min="14849" max="14849" width="24.42578125" style="248" customWidth="1"/>
    <col min="14850" max="14850" width="10.28515625" style="248" customWidth="1"/>
    <col min="14851" max="14851" width="11.5703125" style="248" customWidth="1"/>
    <col min="14852" max="14852" width="9" style="248" customWidth="1"/>
    <col min="14853" max="14853" width="9.28515625" style="248" bestFit="1" customWidth="1"/>
    <col min="14854" max="14854" width="10.28515625" style="248" customWidth="1"/>
    <col min="14855" max="14855" width="8.85546875" style="248" customWidth="1"/>
    <col min="14856" max="14856" width="9.42578125" style="248" customWidth="1"/>
    <col min="14857" max="14857" width="9.28515625" style="248" bestFit="1" customWidth="1"/>
    <col min="14858" max="14858" width="9.140625" style="248" customWidth="1"/>
    <col min="14859" max="14859" width="9.7109375" style="248" bestFit="1" customWidth="1"/>
    <col min="14860" max="14860" width="9.140625" style="248" customWidth="1"/>
    <col min="14861" max="14861" width="10" style="248" customWidth="1"/>
    <col min="14862" max="14862" width="8" style="248" customWidth="1"/>
    <col min="14863" max="15104" width="9.140625" style="248"/>
    <col min="15105" max="15105" width="24.42578125" style="248" customWidth="1"/>
    <col min="15106" max="15106" width="10.28515625" style="248" customWidth="1"/>
    <col min="15107" max="15107" width="11.5703125" style="248" customWidth="1"/>
    <col min="15108" max="15108" width="9" style="248" customWidth="1"/>
    <col min="15109" max="15109" width="9.28515625" style="248" bestFit="1" customWidth="1"/>
    <col min="15110" max="15110" width="10.28515625" style="248" customWidth="1"/>
    <col min="15111" max="15111" width="8.85546875" style="248" customWidth="1"/>
    <col min="15112" max="15112" width="9.42578125" style="248" customWidth="1"/>
    <col min="15113" max="15113" width="9.28515625" style="248" bestFit="1" customWidth="1"/>
    <col min="15114" max="15114" width="9.140625" style="248" customWidth="1"/>
    <col min="15115" max="15115" width="9.7109375" style="248" bestFit="1" customWidth="1"/>
    <col min="15116" max="15116" width="9.140625" style="248" customWidth="1"/>
    <col min="15117" max="15117" width="10" style="248" customWidth="1"/>
    <col min="15118" max="15118" width="8" style="248" customWidth="1"/>
    <col min="15119" max="15360" width="9.140625" style="248"/>
    <col min="15361" max="15361" width="24.42578125" style="248" customWidth="1"/>
    <col min="15362" max="15362" width="10.28515625" style="248" customWidth="1"/>
    <col min="15363" max="15363" width="11.5703125" style="248" customWidth="1"/>
    <col min="15364" max="15364" width="9" style="248" customWidth="1"/>
    <col min="15365" max="15365" width="9.28515625" style="248" bestFit="1" customWidth="1"/>
    <col min="15366" max="15366" width="10.28515625" style="248" customWidth="1"/>
    <col min="15367" max="15367" width="8.85546875" style="248" customWidth="1"/>
    <col min="15368" max="15368" width="9.42578125" style="248" customWidth="1"/>
    <col min="15369" max="15369" width="9.28515625" style="248" bestFit="1" customWidth="1"/>
    <col min="15370" max="15370" width="9.140625" style="248" customWidth="1"/>
    <col min="15371" max="15371" width="9.7109375" style="248" bestFit="1" customWidth="1"/>
    <col min="15372" max="15372" width="9.140625" style="248" customWidth="1"/>
    <col min="15373" max="15373" width="10" style="248" customWidth="1"/>
    <col min="15374" max="15374" width="8" style="248" customWidth="1"/>
    <col min="15375" max="15616" width="9.140625" style="248"/>
    <col min="15617" max="15617" width="24.42578125" style="248" customWidth="1"/>
    <col min="15618" max="15618" width="10.28515625" style="248" customWidth="1"/>
    <col min="15619" max="15619" width="11.5703125" style="248" customWidth="1"/>
    <col min="15620" max="15620" width="9" style="248" customWidth="1"/>
    <col min="15621" max="15621" width="9.28515625" style="248" bestFit="1" customWidth="1"/>
    <col min="15622" max="15622" width="10.28515625" style="248" customWidth="1"/>
    <col min="15623" max="15623" width="8.85546875" style="248" customWidth="1"/>
    <col min="15624" max="15624" width="9.42578125" style="248" customWidth="1"/>
    <col min="15625" max="15625" width="9.28515625" style="248" bestFit="1" customWidth="1"/>
    <col min="15626" max="15626" width="9.140625" style="248" customWidth="1"/>
    <col min="15627" max="15627" width="9.7109375" style="248" bestFit="1" customWidth="1"/>
    <col min="15628" max="15628" width="9.140625" style="248" customWidth="1"/>
    <col min="15629" max="15629" width="10" style="248" customWidth="1"/>
    <col min="15630" max="15630" width="8" style="248" customWidth="1"/>
    <col min="15631" max="15872" width="9.140625" style="248"/>
    <col min="15873" max="15873" width="24.42578125" style="248" customWidth="1"/>
    <col min="15874" max="15874" width="10.28515625" style="248" customWidth="1"/>
    <col min="15875" max="15875" width="11.5703125" style="248" customWidth="1"/>
    <col min="15876" max="15876" width="9" style="248" customWidth="1"/>
    <col min="15877" max="15877" width="9.28515625" style="248" bestFit="1" customWidth="1"/>
    <col min="15878" max="15878" width="10.28515625" style="248" customWidth="1"/>
    <col min="15879" max="15879" width="8.85546875" style="248" customWidth="1"/>
    <col min="15880" max="15880" width="9.42578125" style="248" customWidth="1"/>
    <col min="15881" max="15881" width="9.28515625" style="248" bestFit="1" customWidth="1"/>
    <col min="15882" max="15882" width="9.140625" style="248" customWidth="1"/>
    <col min="15883" max="15883" width="9.7109375" style="248" bestFit="1" customWidth="1"/>
    <col min="15884" max="15884" width="9.140625" style="248" customWidth="1"/>
    <col min="15885" max="15885" width="10" style="248" customWidth="1"/>
    <col min="15886" max="15886" width="8" style="248" customWidth="1"/>
    <col min="15887" max="16128" width="9.140625" style="248"/>
    <col min="16129" max="16129" width="24.42578125" style="248" customWidth="1"/>
    <col min="16130" max="16130" width="10.28515625" style="248" customWidth="1"/>
    <col min="16131" max="16131" width="11.5703125" style="248" customWidth="1"/>
    <col min="16132" max="16132" width="9" style="248" customWidth="1"/>
    <col min="16133" max="16133" width="9.28515625" style="248" bestFit="1" customWidth="1"/>
    <col min="16134" max="16134" width="10.28515625" style="248" customWidth="1"/>
    <col min="16135" max="16135" width="8.85546875" style="248" customWidth="1"/>
    <col min="16136" max="16136" width="9.42578125" style="248" customWidth="1"/>
    <col min="16137" max="16137" width="9.28515625" style="248" bestFit="1" customWidth="1"/>
    <col min="16138" max="16138" width="9.140625" style="248" customWidth="1"/>
    <col min="16139" max="16139" width="9.7109375" style="248" bestFit="1" customWidth="1"/>
    <col min="16140" max="16140" width="9.140625" style="248" customWidth="1"/>
    <col min="16141" max="16141" width="10" style="248" customWidth="1"/>
    <col min="16142" max="16142" width="8" style="248" customWidth="1"/>
    <col min="16143" max="16384" width="9.140625" style="248"/>
  </cols>
  <sheetData>
    <row r="1" spans="1:16" s="71" customFormat="1" ht="18.600000000000001" customHeight="1">
      <c r="A1" s="653" t="s">
        <v>114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</row>
    <row r="2" spans="1:16" s="71" customFormat="1" ht="18.600000000000001" customHeight="1">
      <c r="A2" s="653" t="s">
        <v>269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</row>
    <row r="3" spans="1:16" s="71" customFormat="1" ht="18.600000000000001" customHeight="1"/>
    <row r="4" spans="1:16" s="71" customFormat="1" ht="18.600000000000001" customHeight="1">
      <c r="A4" s="72" t="s">
        <v>268</v>
      </c>
      <c r="B4" s="640" t="s">
        <v>20</v>
      </c>
      <c r="C4" s="640"/>
      <c r="D4" s="640"/>
      <c r="E4" s="640" t="s">
        <v>267</v>
      </c>
      <c r="F4" s="640"/>
      <c r="G4" s="72">
        <v>10</v>
      </c>
      <c r="H4" s="654" t="s">
        <v>4</v>
      </c>
      <c r="I4" s="655"/>
      <c r="J4" s="656"/>
      <c r="K4" s="72">
        <f>[5]Emani!K4+[5]SHANTI!K4+[5]SION!K4+[5]BALINGDA!K4+[5]GAMMA!K4+[5]ALEMBA!K4+[5]NILLA!K4+[5]HEMAYANA!K4+[5]DEVAGIRI!K4+[5]PISION!K4</f>
        <v>5310.9489999999996</v>
      </c>
      <c r="L4" s="638" t="s">
        <v>115</v>
      </c>
      <c r="M4" s="639"/>
      <c r="N4" s="72">
        <v>2400</v>
      </c>
    </row>
    <row r="5" spans="1:16" s="71" customFormat="1" ht="18.600000000000001" customHeight="1">
      <c r="A5" s="462" t="s">
        <v>585</v>
      </c>
    </row>
    <row r="6" spans="1:16" s="71" customFormat="1" ht="18.600000000000001" customHeight="1">
      <c r="A6" s="16" t="s">
        <v>266</v>
      </c>
      <c r="B6" s="640" t="s">
        <v>265</v>
      </c>
      <c r="C6" s="640"/>
      <c r="D6" s="640"/>
      <c r="E6" s="643" t="s">
        <v>264</v>
      </c>
      <c r="F6" s="644"/>
      <c r="G6" s="640" t="s">
        <v>263</v>
      </c>
      <c r="H6" s="640"/>
      <c r="I6" s="640"/>
    </row>
    <row r="7" spans="1:16" s="71" customFormat="1" ht="18.600000000000001" customHeight="1"/>
    <row r="8" spans="1:16" s="71" customFormat="1" ht="18.600000000000001" customHeight="1">
      <c r="A8" s="645" t="s">
        <v>262</v>
      </c>
      <c r="B8" s="646" t="s">
        <v>261</v>
      </c>
      <c r="C8" s="647"/>
      <c r="D8" s="648"/>
      <c r="E8" s="652" t="s">
        <v>260</v>
      </c>
      <c r="F8" s="652"/>
      <c r="G8" s="652"/>
      <c r="H8" s="652"/>
      <c r="I8" s="652"/>
      <c r="J8" s="652"/>
      <c r="K8" s="632"/>
      <c r="L8" s="633"/>
      <c r="M8" s="633"/>
      <c r="N8" s="633"/>
      <c r="O8" s="633"/>
      <c r="P8" s="634"/>
    </row>
    <row r="9" spans="1:16" s="71" customFormat="1" ht="18.600000000000001" customHeight="1">
      <c r="A9" s="645"/>
      <c r="B9" s="649"/>
      <c r="C9" s="650"/>
      <c r="D9" s="651"/>
      <c r="E9" s="652"/>
      <c r="F9" s="652"/>
      <c r="G9" s="652"/>
      <c r="H9" s="652"/>
      <c r="I9" s="652"/>
      <c r="J9" s="652"/>
      <c r="K9" s="635"/>
      <c r="L9" s="636"/>
      <c r="M9" s="636"/>
      <c r="N9" s="636"/>
      <c r="O9" s="636"/>
      <c r="P9" s="637"/>
    </row>
    <row r="10" spans="1:16" s="71" customFormat="1" ht="18.600000000000001" hidden="1" customHeight="1"/>
    <row r="11" spans="1:16" s="71" customFormat="1" ht="18.600000000000001" hidden="1" customHeight="1"/>
    <row r="12" spans="1:16" s="71" customFormat="1" ht="24" customHeight="1">
      <c r="A12" s="72" t="s">
        <v>116</v>
      </c>
      <c r="B12" s="72">
        <v>38</v>
      </c>
      <c r="C12" s="60" t="s">
        <v>117</v>
      </c>
      <c r="D12" s="72">
        <v>35</v>
      </c>
      <c r="E12" s="72"/>
      <c r="F12" s="638" t="s">
        <v>93</v>
      </c>
      <c r="G12" s="639"/>
      <c r="H12" s="72">
        <v>118</v>
      </c>
      <c r="I12" s="72" t="s">
        <v>94</v>
      </c>
      <c r="J12" s="72">
        <v>10</v>
      </c>
      <c r="K12" s="72" t="s">
        <v>95</v>
      </c>
      <c r="L12" s="72">
        <f>[5]ALEMBA!L17+[5]GAMMA!L17+[5]BALINGDA!L17+[5]SION!L17+[5]SHANTI!L17+[5]Emani!L17+[5]PISION!L17+[5]DEVAGIRI!L17+[5]HEMAYANA!L17+[5]NILLA!L17</f>
        <v>104</v>
      </c>
      <c r="M12" s="72"/>
      <c r="N12" s="72"/>
    </row>
    <row r="13" spans="1:16" s="71" customFormat="1" ht="18.600000000000001" hidden="1" customHeight="1"/>
    <row r="14" spans="1:16" s="71" customFormat="1" ht="18.600000000000001" hidden="1" customHeight="1"/>
    <row r="15" spans="1:16" s="71" customFormat="1" ht="18.600000000000001" customHeight="1">
      <c r="A15" s="74" t="s">
        <v>118</v>
      </c>
      <c r="B15" s="74" t="s">
        <v>40</v>
      </c>
      <c r="C15" s="74">
        <v>1911</v>
      </c>
      <c r="D15" s="74" t="s">
        <v>41</v>
      </c>
      <c r="E15" s="72"/>
      <c r="F15" s="17" t="s">
        <v>42</v>
      </c>
      <c r="G15" s="60"/>
      <c r="H15" s="60" t="s">
        <v>64</v>
      </c>
      <c r="I15" s="72">
        <v>1911</v>
      </c>
      <c r="J15" s="72" t="s">
        <v>43</v>
      </c>
      <c r="K15" s="78">
        <f>[5]ALEMBA!K20+[5]GAMMA!K20+[5]BALINGDA!K20+[5]SION!K20+[5]SHANTI!K20+[5]Emani!K20+[5]PISION!K20+[5]DEVAGIRI!K20+[5]HEMAYANA!K20+[5]NILLA!K20</f>
        <v>268</v>
      </c>
      <c r="L15" s="638" t="s">
        <v>259</v>
      </c>
      <c r="M15" s="639"/>
      <c r="N15" s="72">
        <f>[5]ALEMBA!N20+[5]GAMMA!N20+[5]BALINGDA!N20+[5]SION!N20+[5]SHANTI!N20+[5]Emani!N20+[5]PISION!N20+[5]DEVAGIRI!N20+[5]HEMAYANA!N20+[5]NILLA!N20</f>
        <v>211</v>
      </c>
    </row>
    <row r="16" spans="1:16" s="71" customFormat="1" ht="18.600000000000001" customHeight="1">
      <c r="A16" s="74" t="s">
        <v>45</v>
      </c>
      <c r="B16" s="74" t="s">
        <v>46</v>
      </c>
      <c r="C16" s="77">
        <v>4975</v>
      </c>
      <c r="D16" s="74" t="s">
        <v>47</v>
      </c>
      <c r="E16" s="76"/>
      <c r="F16" s="17" t="s">
        <v>48</v>
      </c>
      <c r="G16" s="60"/>
      <c r="H16" s="60" t="s">
        <v>77</v>
      </c>
      <c r="I16" s="72">
        <f>C16</f>
        <v>4975</v>
      </c>
      <c r="K16" s="6" t="s">
        <v>120</v>
      </c>
      <c r="L16" s="6"/>
    </row>
    <row r="17" spans="1:15" s="71" customFormat="1" ht="21.75" customHeight="1">
      <c r="A17" s="75"/>
      <c r="B17" s="74" t="s">
        <v>121</v>
      </c>
      <c r="C17" s="74">
        <v>5004</v>
      </c>
      <c r="D17" s="74" t="s">
        <v>50</v>
      </c>
      <c r="E17" s="72"/>
      <c r="F17" s="60" t="s">
        <v>51</v>
      </c>
      <c r="G17" s="60"/>
      <c r="H17" s="60" t="s">
        <v>76</v>
      </c>
      <c r="I17" s="72">
        <f>C17</f>
        <v>5004</v>
      </c>
      <c r="K17" s="6" t="s">
        <v>122</v>
      </c>
      <c r="L17" s="6"/>
    </row>
    <row r="18" spans="1:15" s="71" customFormat="1" ht="18.600000000000001" hidden="1" customHeight="1"/>
    <row r="19" spans="1:15" s="71" customFormat="1" ht="18.600000000000001" customHeight="1">
      <c r="A19" s="73" t="s">
        <v>52</v>
      </c>
    </row>
    <row r="20" spans="1:15" s="71" customFormat="1" ht="18.600000000000001" customHeight="1">
      <c r="A20" s="640" t="s">
        <v>123</v>
      </c>
      <c r="B20" s="641" t="s">
        <v>124</v>
      </c>
      <c r="C20" s="640" t="s">
        <v>55</v>
      </c>
      <c r="D20" s="640" t="s">
        <v>125</v>
      </c>
      <c r="E20" s="640" t="s">
        <v>126</v>
      </c>
      <c r="F20" s="640" t="s">
        <v>258</v>
      </c>
      <c r="G20" s="640"/>
      <c r="H20" s="640"/>
      <c r="I20" s="640"/>
      <c r="J20" s="640"/>
      <c r="K20" s="640"/>
      <c r="L20" s="640"/>
      <c r="M20" s="640"/>
      <c r="N20" s="640"/>
    </row>
    <row r="21" spans="1:15" s="71" customFormat="1" ht="25.15" customHeight="1">
      <c r="A21" s="640"/>
      <c r="B21" s="642"/>
      <c r="C21" s="640"/>
      <c r="D21" s="640"/>
      <c r="E21" s="640"/>
      <c r="F21" s="7" t="s">
        <v>257</v>
      </c>
      <c r="G21" s="7" t="s">
        <v>256</v>
      </c>
      <c r="H21" s="7" t="s">
        <v>255</v>
      </c>
      <c r="I21" s="7" t="s">
        <v>254</v>
      </c>
      <c r="J21" s="7" t="s">
        <v>253</v>
      </c>
      <c r="K21" s="7" t="s">
        <v>252</v>
      </c>
      <c r="L21" s="7" t="s">
        <v>251</v>
      </c>
      <c r="M21" s="72" t="s">
        <v>64</v>
      </c>
      <c r="N21" s="72" t="s">
        <v>112</v>
      </c>
    </row>
    <row r="22" spans="1:15" s="16" customFormat="1" ht="24" customHeight="1">
      <c r="A22" s="60" t="s">
        <v>250</v>
      </c>
      <c r="B22" s="60">
        <v>500</v>
      </c>
      <c r="C22" s="59" t="s">
        <v>248</v>
      </c>
      <c r="D22" s="70">
        <f>ROUND((+B22*K4),0)/100000</f>
        <v>26.554749999999999</v>
      </c>
      <c r="E22" s="18">
        <f>2517475/100000</f>
        <v>25.17475</v>
      </c>
      <c r="F22" s="18">
        <v>0</v>
      </c>
      <c r="G22" s="18">
        <f>466100/100000</f>
        <v>4.6609999999999996</v>
      </c>
      <c r="H22" s="60">
        <f>5.61022+0.37939</f>
        <v>5.9896099999999999</v>
      </c>
      <c r="I22" s="18">
        <f>443931/100000</f>
        <v>4.4393099999999999</v>
      </c>
      <c r="J22" s="18">
        <f>300577/100000</f>
        <v>3.0057700000000001</v>
      </c>
      <c r="K22" s="60">
        <f>653010/100000</f>
        <v>6.5301</v>
      </c>
      <c r="L22" s="18">
        <f>54766/100000</f>
        <v>0.54766000000000004</v>
      </c>
      <c r="M22" s="69">
        <f>SUM(F22:L22)</f>
        <v>25.173449999999999</v>
      </c>
      <c r="N22" s="18">
        <f>+M22*100/E22</f>
        <v>99.994836095691113</v>
      </c>
      <c r="O22" s="64"/>
    </row>
    <row r="23" spans="1:15" s="16" customFormat="1" ht="18.600000000000001" customHeight="1">
      <c r="A23" s="60" t="s">
        <v>249</v>
      </c>
      <c r="B23" s="60">
        <v>360</v>
      </c>
      <c r="C23" s="59" t="s">
        <v>248</v>
      </c>
      <c r="D23" s="70">
        <f>ROUND((+B23*K4),0)/100000</f>
        <v>19.119420000000002</v>
      </c>
      <c r="E23" s="18">
        <f>1911942/100000</f>
        <v>19.119420000000002</v>
      </c>
      <c r="F23" s="18"/>
      <c r="G23" s="18"/>
      <c r="H23" s="60"/>
      <c r="I23" s="18">
        <f>182227/100000</f>
        <v>1.8222700000000001</v>
      </c>
      <c r="J23" s="18">
        <f>537151/100000</f>
        <v>5.3715099999999998</v>
      </c>
      <c r="K23" s="60">
        <f>761390/100000</f>
        <v>7.6139000000000001</v>
      </c>
      <c r="L23" s="18">
        <f>431174/100000</f>
        <v>4.3117400000000004</v>
      </c>
      <c r="M23" s="69">
        <f t="shared" ref="M23:M29" si="0">SUM(F23:L23)</f>
        <v>19.119420000000002</v>
      </c>
      <c r="N23" s="18">
        <f t="shared" ref="N23:N30" si="1">+M23*100/E23</f>
        <v>100</v>
      </c>
      <c r="O23" s="64"/>
    </row>
    <row r="24" spans="1:15" s="16" customFormat="1" ht="18.600000000000001" customHeight="1">
      <c r="A24" s="60" t="s">
        <v>247</v>
      </c>
      <c r="B24" s="60">
        <v>8.4</v>
      </c>
      <c r="C24" s="60" t="s">
        <v>242</v>
      </c>
      <c r="D24" s="18">
        <f>20.349+4.5</f>
        <v>24.849</v>
      </c>
      <c r="E24" s="18">
        <v>20.349</v>
      </c>
      <c r="F24" s="18">
        <v>0.6</v>
      </c>
      <c r="G24" s="18">
        <v>2.15</v>
      </c>
      <c r="H24" s="18">
        <f>275000/100000</f>
        <v>2.75</v>
      </c>
      <c r="I24" s="18">
        <f>360000/100000</f>
        <v>3.6</v>
      </c>
      <c r="J24" s="18">
        <f>360000/100000</f>
        <v>3.6</v>
      </c>
      <c r="K24" s="18">
        <f>360000/100000</f>
        <v>3.6</v>
      </c>
      <c r="L24" s="18">
        <f>380688/100000+0.15+0.016</f>
        <v>3.97288</v>
      </c>
      <c r="M24" s="69">
        <f t="shared" si="0"/>
        <v>20.272880000000001</v>
      </c>
      <c r="N24" s="18">
        <f t="shared" si="1"/>
        <v>99.625927564008066</v>
      </c>
      <c r="O24" s="64"/>
    </row>
    <row r="25" spans="1:15" s="16" customFormat="1" ht="21.75" customHeight="1">
      <c r="A25" s="60" t="s">
        <v>246</v>
      </c>
      <c r="B25" s="60">
        <v>0.84</v>
      </c>
      <c r="C25" s="60" t="s">
        <v>242</v>
      </c>
      <c r="D25" s="18">
        <f>6.546+0.36</f>
        <v>6.9060000000000006</v>
      </c>
      <c r="E25" s="18">
        <v>6.5460000000000003</v>
      </c>
      <c r="F25" s="18">
        <v>4.3999999999999997E-2</v>
      </c>
      <c r="G25" s="18">
        <f>31380/100000</f>
        <v>0.31380000000000002</v>
      </c>
      <c r="H25" s="18">
        <v>0.38518000000000002</v>
      </c>
      <c r="I25" s="18">
        <f>0.8925+0.48</f>
        <v>1.3725000000000001</v>
      </c>
      <c r="J25" s="18">
        <f>0.9+0.45</f>
        <v>1.35</v>
      </c>
      <c r="K25" s="18">
        <f>0.9+0.53247</f>
        <v>1.4324699999999999</v>
      </c>
      <c r="L25" s="18">
        <f>0.60068+0.24496+0.06</f>
        <v>0.90564</v>
      </c>
      <c r="M25" s="69">
        <f t="shared" si="0"/>
        <v>5.8035899999999998</v>
      </c>
      <c r="N25" s="18">
        <f t="shared" si="1"/>
        <v>88.658570119156721</v>
      </c>
      <c r="O25" s="64"/>
    </row>
    <row r="26" spans="1:15" s="16" customFormat="1" ht="24.75" customHeight="1">
      <c r="A26" s="60" t="s">
        <v>245</v>
      </c>
      <c r="B26" s="60">
        <v>3.6</v>
      </c>
      <c r="C26" s="60" t="s">
        <v>242</v>
      </c>
      <c r="D26" s="18">
        <f>12+2.7</f>
        <v>14.7</v>
      </c>
      <c r="E26" s="18">
        <v>12</v>
      </c>
      <c r="F26" s="18">
        <f>0.236</f>
        <v>0.23599999999999999</v>
      </c>
      <c r="G26" s="18">
        <v>0.28699999999999998</v>
      </c>
      <c r="H26" s="18">
        <f>240000/100000</f>
        <v>2.4</v>
      </c>
      <c r="I26" s="18">
        <f>224000/100000</f>
        <v>2.2400000000000002</v>
      </c>
      <c r="J26" s="18">
        <v>2.4</v>
      </c>
      <c r="K26" s="18">
        <v>2.4</v>
      </c>
      <c r="L26" s="18">
        <f>240000/100000</f>
        <v>2.4</v>
      </c>
      <c r="M26" s="69">
        <f t="shared" si="0"/>
        <v>12.363000000000001</v>
      </c>
      <c r="N26" s="18">
        <f t="shared" si="1"/>
        <v>103.02500000000002</v>
      </c>
      <c r="O26" s="64"/>
    </row>
    <row r="27" spans="1:15" s="16" customFormat="1" ht="24.75" customHeight="1">
      <c r="A27" s="60" t="s">
        <v>244</v>
      </c>
      <c r="B27" s="60">
        <v>0.24</v>
      </c>
      <c r="C27" s="60" t="s">
        <v>242</v>
      </c>
      <c r="D27" s="18">
        <f>0.98+0.18</f>
        <v>1.1599999999999999</v>
      </c>
      <c r="E27" s="18">
        <v>0.98</v>
      </c>
      <c r="F27" s="18"/>
      <c r="G27" s="18"/>
      <c r="H27" s="18"/>
      <c r="I27" s="18">
        <f>24000/100000</f>
        <v>0.24</v>
      </c>
      <c r="J27" s="18">
        <v>0.24</v>
      </c>
      <c r="K27" s="18">
        <v>0.24</v>
      </c>
      <c r="L27" s="18">
        <v>0.24</v>
      </c>
      <c r="M27" s="69">
        <f t="shared" si="0"/>
        <v>0.96</v>
      </c>
      <c r="N27" s="18">
        <f t="shared" si="1"/>
        <v>97.959183673469383</v>
      </c>
      <c r="O27" s="64"/>
    </row>
    <row r="28" spans="1:15" s="16" customFormat="1" ht="18.600000000000001" customHeight="1">
      <c r="A28" s="60" t="s">
        <v>243</v>
      </c>
      <c r="B28" s="60">
        <v>0.24</v>
      </c>
      <c r="C28" s="60" t="s">
        <v>242</v>
      </c>
      <c r="D28" s="18">
        <f>1.44+0.27</f>
        <v>1.71</v>
      </c>
      <c r="E28" s="18">
        <v>1.44</v>
      </c>
      <c r="F28" s="18">
        <v>9.7000000000000003E-2</v>
      </c>
      <c r="G28" s="18">
        <v>0.26400000000000001</v>
      </c>
      <c r="H28" s="18">
        <v>3.9E-2</v>
      </c>
      <c r="I28" s="18">
        <v>0.38250000000000001</v>
      </c>
      <c r="J28" s="18">
        <v>0.34005000000000002</v>
      </c>
      <c r="K28" s="18">
        <v>0.35253000000000001</v>
      </c>
      <c r="L28" s="18">
        <v>0.34499999999999997</v>
      </c>
      <c r="M28" s="69">
        <f t="shared" si="0"/>
        <v>1.8200799999999999</v>
      </c>
      <c r="N28" s="18">
        <f t="shared" si="1"/>
        <v>126.39444444444443</v>
      </c>
      <c r="O28" s="64"/>
    </row>
    <row r="29" spans="1:15" s="16" customFormat="1" ht="18.600000000000001" customHeight="1">
      <c r="A29" s="60" t="s">
        <v>113</v>
      </c>
      <c r="B29" s="60">
        <v>0.2</v>
      </c>
      <c r="C29" s="60" t="s">
        <v>241</v>
      </c>
      <c r="D29" s="18">
        <v>0.2</v>
      </c>
      <c r="E29" s="18">
        <v>0.2</v>
      </c>
      <c r="F29" s="18"/>
      <c r="G29" s="18"/>
      <c r="H29" s="18"/>
      <c r="I29" s="18">
        <v>0.2</v>
      </c>
      <c r="J29" s="60"/>
      <c r="K29" s="60"/>
      <c r="L29" s="60"/>
      <c r="M29" s="69">
        <f t="shared" si="0"/>
        <v>0.2</v>
      </c>
      <c r="N29" s="18">
        <f t="shared" si="1"/>
        <v>100</v>
      </c>
      <c r="O29" s="64"/>
    </row>
    <row r="30" spans="1:15" s="16" customFormat="1" ht="18.600000000000001" customHeight="1">
      <c r="A30" s="68" t="s">
        <v>240</v>
      </c>
      <c r="B30" s="60"/>
      <c r="C30" s="60"/>
      <c r="D30" s="18">
        <f t="shared" ref="D30:M30" si="2">SUM(D22:D29)</f>
        <v>95.199170000000009</v>
      </c>
      <c r="E30" s="18">
        <f t="shared" si="2"/>
        <v>85.809170000000009</v>
      </c>
      <c r="F30" s="19">
        <f t="shared" si="2"/>
        <v>0.97699999999999998</v>
      </c>
      <c r="G30" s="67">
        <f t="shared" si="2"/>
        <v>7.6757999999999997</v>
      </c>
      <c r="H30" s="67">
        <f t="shared" si="2"/>
        <v>11.563789999999999</v>
      </c>
      <c r="I30" s="67">
        <f t="shared" si="2"/>
        <v>14.296580000000001</v>
      </c>
      <c r="J30" s="67">
        <f t="shared" si="2"/>
        <v>16.30733</v>
      </c>
      <c r="K30" s="67">
        <f t="shared" si="2"/>
        <v>22.168999999999997</v>
      </c>
      <c r="L30" s="66">
        <f t="shared" si="2"/>
        <v>12.722920000000002</v>
      </c>
      <c r="M30" s="65">
        <f t="shared" si="2"/>
        <v>85.712420000000009</v>
      </c>
      <c r="N30" s="19">
        <f t="shared" si="1"/>
        <v>99.887249812578304</v>
      </c>
      <c r="O30" s="64"/>
    </row>
    <row r="31" spans="1:15" s="27" customFormat="1" ht="12.75"/>
    <row r="32" spans="1:15">
      <c r="M32" s="3"/>
    </row>
  </sheetData>
  <mergeCells count="21">
    <mergeCell ref="A1:N1"/>
    <mergeCell ref="A2:N2"/>
    <mergeCell ref="B4:D4"/>
    <mergeCell ref="E4:F4"/>
    <mergeCell ref="H4:J4"/>
    <mergeCell ref="L4:M4"/>
    <mergeCell ref="B6:D6"/>
    <mergeCell ref="E6:F6"/>
    <mergeCell ref="G6:I6"/>
    <mergeCell ref="A8:A9"/>
    <mergeCell ref="B8:D9"/>
    <mergeCell ref="E8:J9"/>
    <mergeCell ref="K8:P9"/>
    <mergeCell ref="F12:G12"/>
    <mergeCell ref="L15:M15"/>
    <mergeCell ref="A20:A21"/>
    <mergeCell ref="B20:B21"/>
    <mergeCell ref="C20:C21"/>
    <mergeCell ref="D20:D21"/>
    <mergeCell ref="E20:E21"/>
    <mergeCell ref="F20:N20"/>
  </mergeCells>
  <hyperlinks>
    <hyperlink ref="A5" location="'Fact Sheet of VDC'!A1" display="&lt;&lt;Back"/>
  </hyperlinks>
  <pageMargins left="0.21" right="0.1" top="0.32" bottom="0.17" header="0.31496062992126" footer="0.1"/>
  <pageSetup paperSize="9" scale="86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27"/>
  <sheetViews>
    <sheetView workbookViewId="0">
      <selection activeCell="A4" sqref="A4"/>
    </sheetView>
  </sheetViews>
  <sheetFormatPr defaultRowHeight="15"/>
  <cols>
    <col min="1" max="2" width="9.140625" style="248"/>
    <col min="3" max="3" width="15.7109375" style="248" customWidth="1"/>
    <col min="4" max="4" width="12" style="248" customWidth="1"/>
    <col min="5" max="5" width="12.85546875" style="248" customWidth="1"/>
    <col min="6" max="8" width="10.28515625" style="248" customWidth="1"/>
    <col min="9" max="9" width="11.42578125" style="248" customWidth="1"/>
    <col min="10" max="10" width="11.28515625" style="248" customWidth="1"/>
    <col min="11" max="11" width="13.28515625" style="248" customWidth="1"/>
    <col min="12" max="12" width="12" style="248" customWidth="1"/>
    <col min="13" max="13" width="13.5703125" style="248" customWidth="1"/>
    <col min="14" max="14" width="13.7109375" style="248" bestFit="1" customWidth="1"/>
    <col min="15" max="15" width="14.7109375" style="248" bestFit="1" customWidth="1"/>
    <col min="16" max="16" width="15.7109375" style="248" bestFit="1" customWidth="1"/>
    <col min="17" max="17" width="9.140625" style="248"/>
    <col min="18" max="18" width="10.85546875" style="248" customWidth="1"/>
    <col min="19" max="258" width="9.140625" style="248"/>
    <col min="259" max="259" width="15.7109375" style="248" customWidth="1"/>
    <col min="260" max="260" width="12" style="248" customWidth="1"/>
    <col min="261" max="261" width="12.85546875" style="248" customWidth="1"/>
    <col min="262" max="264" width="10.28515625" style="248" customWidth="1"/>
    <col min="265" max="265" width="11.42578125" style="248" customWidth="1"/>
    <col min="266" max="266" width="11.28515625" style="248" customWidth="1"/>
    <col min="267" max="267" width="13.28515625" style="248" customWidth="1"/>
    <col min="268" max="268" width="12" style="248" customWidth="1"/>
    <col min="269" max="269" width="13.5703125" style="248" customWidth="1"/>
    <col min="270" max="270" width="13.7109375" style="248" bestFit="1" customWidth="1"/>
    <col min="271" max="271" width="14.7109375" style="248" bestFit="1" customWidth="1"/>
    <col min="272" max="272" width="15.7109375" style="248" bestFit="1" customWidth="1"/>
    <col min="273" max="273" width="9.140625" style="248"/>
    <col min="274" max="274" width="10.85546875" style="248" customWidth="1"/>
    <col min="275" max="514" width="9.140625" style="248"/>
    <col min="515" max="515" width="15.7109375" style="248" customWidth="1"/>
    <col min="516" max="516" width="12" style="248" customWidth="1"/>
    <col min="517" max="517" width="12.85546875" style="248" customWidth="1"/>
    <col min="518" max="520" width="10.28515625" style="248" customWidth="1"/>
    <col min="521" max="521" width="11.42578125" style="248" customWidth="1"/>
    <col min="522" max="522" width="11.28515625" style="248" customWidth="1"/>
    <col min="523" max="523" width="13.28515625" style="248" customWidth="1"/>
    <col min="524" max="524" width="12" style="248" customWidth="1"/>
    <col min="525" max="525" width="13.5703125" style="248" customWidth="1"/>
    <col min="526" max="526" width="13.7109375" style="248" bestFit="1" customWidth="1"/>
    <col min="527" max="527" width="14.7109375" style="248" bestFit="1" customWidth="1"/>
    <col min="528" max="528" width="15.7109375" style="248" bestFit="1" customWidth="1"/>
    <col min="529" max="529" width="9.140625" style="248"/>
    <col min="530" max="530" width="10.85546875" style="248" customWidth="1"/>
    <col min="531" max="770" width="9.140625" style="248"/>
    <col min="771" max="771" width="15.7109375" style="248" customWidth="1"/>
    <col min="772" max="772" width="12" style="248" customWidth="1"/>
    <col min="773" max="773" width="12.85546875" style="248" customWidth="1"/>
    <col min="774" max="776" width="10.28515625" style="248" customWidth="1"/>
    <col min="777" max="777" width="11.42578125" style="248" customWidth="1"/>
    <col min="778" max="778" width="11.28515625" style="248" customWidth="1"/>
    <col min="779" max="779" width="13.28515625" style="248" customWidth="1"/>
    <col min="780" max="780" width="12" style="248" customWidth="1"/>
    <col min="781" max="781" width="13.5703125" style="248" customWidth="1"/>
    <col min="782" max="782" width="13.7109375" style="248" bestFit="1" customWidth="1"/>
    <col min="783" max="783" width="14.7109375" style="248" bestFit="1" customWidth="1"/>
    <col min="784" max="784" width="15.7109375" style="248" bestFit="1" customWidth="1"/>
    <col min="785" max="785" width="9.140625" style="248"/>
    <col min="786" max="786" width="10.85546875" style="248" customWidth="1"/>
    <col min="787" max="1026" width="9.140625" style="248"/>
    <col min="1027" max="1027" width="15.7109375" style="248" customWidth="1"/>
    <col min="1028" max="1028" width="12" style="248" customWidth="1"/>
    <col min="1029" max="1029" width="12.85546875" style="248" customWidth="1"/>
    <col min="1030" max="1032" width="10.28515625" style="248" customWidth="1"/>
    <col min="1033" max="1033" width="11.42578125" style="248" customWidth="1"/>
    <col min="1034" max="1034" width="11.28515625" style="248" customWidth="1"/>
    <col min="1035" max="1035" width="13.28515625" style="248" customWidth="1"/>
    <col min="1036" max="1036" width="12" style="248" customWidth="1"/>
    <col min="1037" max="1037" width="13.5703125" style="248" customWidth="1"/>
    <col min="1038" max="1038" width="13.7109375" style="248" bestFit="1" customWidth="1"/>
    <col min="1039" max="1039" width="14.7109375" style="248" bestFit="1" customWidth="1"/>
    <col min="1040" max="1040" width="15.7109375" style="248" bestFit="1" customWidth="1"/>
    <col min="1041" max="1041" width="9.140625" style="248"/>
    <col min="1042" max="1042" width="10.85546875" style="248" customWidth="1"/>
    <col min="1043" max="1282" width="9.140625" style="248"/>
    <col min="1283" max="1283" width="15.7109375" style="248" customWidth="1"/>
    <col min="1284" max="1284" width="12" style="248" customWidth="1"/>
    <col min="1285" max="1285" width="12.85546875" style="248" customWidth="1"/>
    <col min="1286" max="1288" width="10.28515625" style="248" customWidth="1"/>
    <col min="1289" max="1289" width="11.42578125" style="248" customWidth="1"/>
    <col min="1290" max="1290" width="11.28515625" style="248" customWidth="1"/>
    <col min="1291" max="1291" width="13.28515625" style="248" customWidth="1"/>
    <col min="1292" max="1292" width="12" style="248" customWidth="1"/>
    <col min="1293" max="1293" width="13.5703125" style="248" customWidth="1"/>
    <col min="1294" max="1294" width="13.7109375" style="248" bestFit="1" customWidth="1"/>
    <col min="1295" max="1295" width="14.7109375" style="248" bestFit="1" customWidth="1"/>
    <col min="1296" max="1296" width="15.7109375" style="248" bestFit="1" customWidth="1"/>
    <col min="1297" max="1297" width="9.140625" style="248"/>
    <col min="1298" max="1298" width="10.85546875" style="248" customWidth="1"/>
    <col min="1299" max="1538" width="9.140625" style="248"/>
    <col min="1539" max="1539" width="15.7109375" style="248" customWidth="1"/>
    <col min="1540" max="1540" width="12" style="248" customWidth="1"/>
    <col min="1541" max="1541" width="12.85546875" style="248" customWidth="1"/>
    <col min="1542" max="1544" width="10.28515625" style="248" customWidth="1"/>
    <col min="1545" max="1545" width="11.42578125" style="248" customWidth="1"/>
    <col min="1546" max="1546" width="11.28515625" style="248" customWidth="1"/>
    <col min="1547" max="1547" width="13.28515625" style="248" customWidth="1"/>
    <col min="1548" max="1548" width="12" style="248" customWidth="1"/>
    <col min="1549" max="1549" width="13.5703125" style="248" customWidth="1"/>
    <col min="1550" max="1550" width="13.7109375" style="248" bestFit="1" customWidth="1"/>
    <col min="1551" max="1551" width="14.7109375" style="248" bestFit="1" customWidth="1"/>
    <col min="1552" max="1552" width="15.7109375" style="248" bestFit="1" customWidth="1"/>
    <col min="1553" max="1553" width="9.140625" style="248"/>
    <col min="1554" max="1554" width="10.85546875" style="248" customWidth="1"/>
    <col min="1555" max="1794" width="9.140625" style="248"/>
    <col min="1795" max="1795" width="15.7109375" style="248" customWidth="1"/>
    <col min="1796" max="1796" width="12" style="248" customWidth="1"/>
    <col min="1797" max="1797" width="12.85546875" style="248" customWidth="1"/>
    <col min="1798" max="1800" width="10.28515625" style="248" customWidth="1"/>
    <col min="1801" max="1801" width="11.42578125" style="248" customWidth="1"/>
    <col min="1802" max="1802" width="11.28515625" style="248" customWidth="1"/>
    <col min="1803" max="1803" width="13.28515625" style="248" customWidth="1"/>
    <col min="1804" max="1804" width="12" style="248" customWidth="1"/>
    <col min="1805" max="1805" width="13.5703125" style="248" customWidth="1"/>
    <col min="1806" max="1806" width="13.7109375" style="248" bestFit="1" customWidth="1"/>
    <col min="1807" max="1807" width="14.7109375" style="248" bestFit="1" customWidth="1"/>
    <col min="1808" max="1808" width="15.7109375" style="248" bestFit="1" customWidth="1"/>
    <col min="1809" max="1809" width="9.140625" style="248"/>
    <col min="1810" max="1810" width="10.85546875" style="248" customWidth="1"/>
    <col min="1811" max="2050" width="9.140625" style="248"/>
    <col min="2051" max="2051" width="15.7109375" style="248" customWidth="1"/>
    <col min="2052" max="2052" width="12" style="248" customWidth="1"/>
    <col min="2053" max="2053" width="12.85546875" style="248" customWidth="1"/>
    <col min="2054" max="2056" width="10.28515625" style="248" customWidth="1"/>
    <col min="2057" max="2057" width="11.42578125" style="248" customWidth="1"/>
    <col min="2058" max="2058" width="11.28515625" style="248" customWidth="1"/>
    <col min="2059" max="2059" width="13.28515625" style="248" customWidth="1"/>
    <col min="2060" max="2060" width="12" style="248" customWidth="1"/>
    <col min="2061" max="2061" width="13.5703125" style="248" customWidth="1"/>
    <col min="2062" max="2062" width="13.7109375" style="248" bestFit="1" customWidth="1"/>
    <col min="2063" max="2063" width="14.7109375" style="248" bestFit="1" customWidth="1"/>
    <col min="2064" max="2064" width="15.7109375" style="248" bestFit="1" customWidth="1"/>
    <col min="2065" max="2065" width="9.140625" style="248"/>
    <col min="2066" max="2066" width="10.85546875" style="248" customWidth="1"/>
    <col min="2067" max="2306" width="9.140625" style="248"/>
    <col min="2307" max="2307" width="15.7109375" style="248" customWidth="1"/>
    <col min="2308" max="2308" width="12" style="248" customWidth="1"/>
    <col min="2309" max="2309" width="12.85546875" style="248" customWidth="1"/>
    <col min="2310" max="2312" width="10.28515625" style="248" customWidth="1"/>
    <col min="2313" max="2313" width="11.42578125" style="248" customWidth="1"/>
    <col min="2314" max="2314" width="11.28515625" style="248" customWidth="1"/>
    <col min="2315" max="2315" width="13.28515625" style="248" customWidth="1"/>
    <col min="2316" max="2316" width="12" style="248" customWidth="1"/>
    <col min="2317" max="2317" width="13.5703125" style="248" customWidth="1"/>
    <col min="2318" max="2318" width="13.7109375" style="248" bestFit="1" customWidth="1"/>
    <col min="2319" max="2319" width="14.7109375" style="248" bestFit="1" customWidth="1"/>
    <col min="2320" max="2320" width="15.7109375" style="248" bestFit="1" customWidth="1"/>
    <col min="2321" max="2321" width="9.140625" style="248"/>
    <col min="2322" max="2322" width="10.85546875" style="248" customWidth="1"/>
    <col min="2323" max="2562" width="9.140625" style="248"/>
    <col min="2563" max="2563" width="15.7109375" style="248" customWidth="1"/>
    <col min="2564" max="2564" width="12" style="248" customWidth="1"/>
    <col min="2565" max="2565" width="12.85546875" style="248" customWidth="1"/>
    <col min="2566" max="2568" width="10.28515625" style="248" customWidth="1"/>
    <col min="2569" max="2569" width="11.42578125" style="248" customWidth="1"/>
    <col min="2570" max="2570" width="11.28515625" style="248" customWidth="1"/>
    <col min="2571" max="2571" width="13.28515625" style="248" customWidth="1"/>
    <col min="2572" max="2572" width="12" style="248" customWidth="1"/>
    <col min="2573" max="2573" width="13.5703125" style="248" customWidth="1"/>
    <col min="2574" max="2574" width="13.7109375" style="248" bestFit="1" customWidth="1"/>
    <col min="2575" max="2575" width="14.7109375" style="248" bestFit="1" customWidth="1"/>
    <col min="2576" max="2576" width="15.7109375" style="248" bestFit="1" customWidth="1"/>
    <col min="2577" max="2577" width="9.140625" style="248"/>
    <col min="2578" max="2578" width="10.85546875" style="248" customWidth="1"/>
    <col min="2579" max="2818" width="9.140625" style="248"/>
    <col min="2819" max="2819" width="15.7109375" style="248" customWidth="1"/>
    <col min="2820" max="2820" width="12" style="248" customWidth="1"/>
    <col min="2821" max="2821" width="12.85546875" style="248" customWidth="1"/>
    <col min="2822" max="2824" width="10.28515625" style="248" customWidth="1"/>
    <col min="2825" max="2825" width="11.42578125" style="248" customWidth="1"/>
    <col min="2826" max="2826" width="11.28515625" style="248" customWidth="1"/>
    <col min="2827" max="2827" width="13.28515625" style="248" customWidth="1"/>
    <col min="2828" max="2828" width="12" style="248" customWidth="1"/>
    <col min="2829" max="2829" width="13.5703125" style="248" customWidth="1"/>
    <col min="2830" max="2830" width="13.7109375" style="248" bestFit="1" customWidth="1"/>
    <col min="2831" max="2831" width="14.7109375" style="248" bestFit="1" customWidth="1"/>
    <col min="2832" max="2832" width="15.7109375" style="248" bestFit="1" customWidth="1"/>
    <col min="2833" max="2833" width="9.140625" style="248"/>
    <col min="2834" max="2834" width="10.85546875" style="248" customWidth="1"/>
    <col min="2835" max="3074" width="9.140625" style="248"/>
    <col min="3075" max="3075" width="15.7109375" style="248" customWidth="1"/>
    <col min="3076" max="3076" width="12" style="248" customWidth="1"/>
    <col min="3077" max="3077" width="12.85546875" style="248" customWidth="1"/>
    <col min="3078" max="3080" width="10.28515625" style="248" customWidth="1"/>
    <col min="3081" max="3081" width="11.42578125" style="248" customWidth="1"/>
    <col min="3082" max="3082" width="11.28515625" style="248" customWidth="1"/>
    <col min="3083" max="3083" width="13.28515625" style="248" customWidth="1"/>
    <col min="3084" max="3084" width="12" style="248" customWidth="1"/>
    <col min="3085" max="3085" width="13.5703125" style="248" customWidth="1"/>
    <col min="3086" max="3086" width="13.7109375" style="248" bestFit="1" customWidth="1"/>
    <col min="3087" max="3087" width="14.7109375" style="248" bestFit="1" customWidth="1"/>
    <col min="3088" max="3088" width="15.7109375" style="248" bestFit="1" customWidth="1"/>
    <col min="3089" max="3089" width="9.140625" style="248"/>
    <col min="3090" max="3090" width="10.85546875" style="248" customWidth="1"/>
    <col min="3091" max="3330" width="9.140625" style="248"/>
    <col min="3331" max="3331" width="15.7109375" style="248" customWidth="1"/>
    <col min="3332" max="3332" width="12" style="248" customWidth="1"/>
    <col min="3333" max="3333" width="12.85546875" style="248" customWidth="1"/>
    <col min="3334" max="3336" width="10.28515625" style="248" customWidth="1"/>
    <col min="3337" max="3337" width="11.42578125" style="248" customWidth="1"/>
    <col min="3338" max="3338" width="11.28515625" style="248" customWidth="1"/>
    <col min="3339" max="3339" width="13.28515625" style="248" customWidth="1"/>
    <col min="3340" max="3340" width="12" style="248" customWidth="1"/>
    <col min="3341" max="3341" width="13.5703125" style="248" customWidth="1"/>
    <col min="3342" max="3342" width="13.7109375" style="248" bestFit="1" customWidth="1"/>
    <col min="3343" max="3343" width="14.7109375" style="248" bestFit="1" customWidth="1"/>
    <col min="3344" max="3344" width="15.7109375" style="248" bestFit="1" customWidth="1"/>
    <col min="3345" max="3345" width="9.140625" style="248"/>
    <col min="3346" max="3346" width="10.85546875" style="248" customWidth="1"/>
    <col min="3347" max="3586" width="9.140625" style="248"/>
    <col min="3587" max="3587" width="15.7109375" style="248" customWidth="1"/>
    <col min="3588" max="3588" width="12" style="248" customWidth="1"/>
    <col min="3589" max="3589" width="12.85546875" style="248" customWidth="1"/>
    <col min="3590" max="3592" width="10.28515625" style="248" customWidth="1"/>
    <col min="3593" max="3593" width="11.42578125" style="248" customWidth="1"/>
    <col min="3594" max="3594" width="11.28515625" style="248" customWidth="1"/>
    <col min="3595" max="3595" width="13.28515625" style="248" customWidth="1"/>
    <col min="3596" max="3596" width="12" style="248" customWidth="1"/>
    <col min="3597" max="3597" width="13.5703125" style="248" customWidth="1"/>
    <col min="3598" max="3598" width="13.7109375" style="248" bestFit="1" customWidth="1"/>
    <col min="3599" max="3599" width="14.7109375" style="248" bestFit="1" customWidth="1"/>
    <col min="3600" max="3600" width="15.7109375" style="248" bestFit="1" customWidth="1"/>
    <col min="3601" max="3601" width="9.140625" style="248"/>
    <col min="3602" max="3602" width="10.85546875" style="248" customWidth="1"/>
    <col min="3603" max="3842" width="9.140625" style="248"/>
    <col min="3843" max="3843" width="15.7109375" style="248" customWidth="1"/>
    <col min="3844" max="3844" width="12" style="248" customWidth="1"/>
    <col min="3845" max="3845" width="12.85546875" style="248" customWidth="1"/>
    <col min="3846" max="3848" width="10.28515625" style="248" customWidth="1"/>
    <col min="3849" max="3849" width="11.42578125" style="248" customWidth="1"/>
    <col min="3850" max="3850" width="11.28515625" style="248" customWidth="1"/>
    <col min="3851" max="3851" width="13.28515625" style="248" customWidth="1"/>
    <col min="3852" max="3852" width="12" style="248" customWidth="1"/>
    <col min="3853" max="3853" width="13.5703125" style="248" customWidth="1"/>
    <col min="3854" max="3854" width="13.7109375" style="248" bestFit="1" customWidth="1"/>
    <col min="3855" max="3855" width="14.7109375" style="248" bestFit="1" customWidth="1"/>
    <col min="3856" max="3856" width="15.7109375" style="248" bestFit="1" customWidth="1"/>
    <col min="3857" max="3857" width="9.140625" style="248"/>
    <col min="3858" max="3858" width="10.85546875" style="248" customWidth="1"/>
    <col min="3859" max="4098" width="9.140625" style="248"/>
    <col min="4099" max="4099" width="15.7109375" style="248" customWidth="1"/>
    <col min="4100" max="4100" width="12" style="248" customWidth="1"/>
    <col min="4101" max="4101" width="12.85546875" style="248" customWidth="1"/>
    <col min="4102" max="4104" width="10.28515625" style="248" customWidth="1"/>
    <col min="4105" max="4105" width="11.42578125" style="248" customWidth="1"/>
    <col min="4106" max="4106" width="11.28515625" style="248" customWidth="1"/>
    <col min="4107" max="4107" width="13.28515625" style="248" customWidth="1"/>
    <col min="4108" max="4108" width="12" style="248" customWidth="1"/>
    <col min="4109" max="4109" width="13.5703125" style="248" customWidth="1"/>
    <col min="4110" max="4110" width="13.7109375" style="248" bestFit="1" customWidth="1"/>
    <col min="4111" max="4111" width="14.7109375" style="248" bestFit="1" customWidth="1"/>
    <col min="4112" max="4112" width="15.7109375" style="248" bestFit="1" customWidth="1"/>
    <col min="4113" max="4113" width="9.140625" style="248"/>
    <col min="4114" max="4114" width="10.85546875" style="248" customWidth="1"/>
    <col min="4115" max="4354" width="9.140625" style="248"/>
    <col min="4355" max="4355" width="15.7109375" style="248" customWidth="1"/>
    <col min="4356" max="4356" width="12" style="248" customWidth="1"/>
    <col min="4357" max="4357" width="12.85546875" style="248" customWidth="1"/>
    <col min="4358" max="4360" width="10.28515625" style="248" customWidth="1"/>
    <col min="4361" max="4361" width="11.42578125" style="248" customWidth="1"/>
    <col min="4362" max="4362" width="11.28515625" style="248" customWidth="1"/>
    <col min="4363" max="4363" width="13.28515625" style="248" customWidth="1"/>
    <col min="4364" max="4364" width="12" style="248" customWidth="1"/>
    <col min="4365" max="4365" width="13.5703125" style="248" customWidth="1"/>
    <col min="4366" max="4366" width="13.7109375" style="248" bestFit="1" customWidth="1"/>
    <col min="4367" max="4367" width="14.7109375" style="248" bestFit="1" customWidth="1"/>
    <col min="4368" max="4368" width="15.7109375" style="248" bestFit="1" customWidth="1"/>
    <col min="4369" max="4369" width="9.140625" style="248"/>
    <col min="4370" max="4370" width="10.85546875" style="248" customWidth="1"/>
    <col min="4371" max="4610" width="9.140625" style="248"/>
    <col min="4611" max="4611" width="15.7109375" style="248" customWidth="1"/>
    <col min="4612" max="4612" width="12" style="248" customWidth="1"/>
    <col min="4613" max="4613" width="12.85546875" style="248" customWidth="1"/>
    <col min="4614" max="4616" width="10.28515625" style="248" customWidth="1"/>
    <col min="4617" max="4617" width="11.42578125" style="248" customWidth="1"/>
    <col min="4618" max="4618" width="11.28515625" style="248" customWidth="1"/>
    <col min="4619" max="4619" width="13.28515625" style="248" customWidth="1"/>
    <col min="4620" max="4620" width="12" style="248" customWidth="1"/>
    <col min="4621" max="4621" width="13.5703125" style="248" customWidth="1"/>
    <col min="4622" max="4622" width="13.7109375" style="248" bestFit="1" customWidth="1"/>
    <col min="4623" max="4623" width="14.7109375" style="248" bestFit="1" customWidth="1"/>
    <col min="4624" max="4624" width="15.7109375" style="248" bestFit="1" customWidth="1"/>
    <col min="4625" max="4625" width="9.140625" style="248"/>
    <col min="4626" max="4626" width="10.85546875" style="248" customWidth="1"/>
    <col min="4627" max="4866" width="9.140625" style="248"/>
    <col min="4867" max="4867" width="15.7109375" style="248" customWidth="1"/>
    <col min="4868" max="4868" width="12" style="248" customWidth="1"/>
    <col min="4869" max="4869" width="12.85546875" style="248" customWidth="1"/>
    <col min="4870" max="4872" width="10.28515625" style="248" customWidth="1"/>
    <col min="4873" max="4873" width="11.42578125" style="248" customWidth="1"/>
    <col min="4874" max="4874" width="11.28515625" style="248" customWidth="1"/>
    <col min="4875" max="4875" width="13.28515625" style="248" customWidth="1"/>
    <col min="4876" max="4876" width="12" style="248" customWidth="1"/>
    <col min="4877" max="4877" width="13.5703125" style="248" customWidth="1"/>
    <col min="4878" max="4878" width="13.7109375" style="248" bestFit="1" customWidth="1"/>
    <col min="4879" max="4879" width="14.7109375" style="248" bestFit="1" customWidth="1"/>
    <col min="4880" max="4880" width="15.7109375" style="248" bestFit="1" customWidth="1"/>
    <col min="4881" max="4881" width="9.140625" style="248"/>
    <col min="4882" max="4882" width="10.85546875" style="248" customWidth="1"/>
    <col min="4883" max="5122" width="9.140625" style="248"/>
    <col min="5123" max="5123" width="15.7109375" style="248" customWidth="1"/>
    <col min="5124" max="5124" width="12" style="248" customWidth="1"/>
    <col min="5125" max="5125" width="12.85546875" style="248" customWidth="1"/>
    <col min="5126" max="5128" width="10.28515625" style="248" customWidth="1"/>
    <col min="5129" max="5129" width="11.42578125" style="248" customWidth="1"/>
    <col min="5130" max="5130" width="11.28515625" style="248" customWidth="1"/>
    <col min="5131" max="5131" width="13.28515625" style="248" customWidth="1"/>
    <col min="5132" max="5132" width="12" style="248" customWidth="1"/>
    <col min="5133" max="5133" width="13.5703125" style="248" customWidth="1"/>
    <col min="5134" max="5134" width="13.7109375" style="248" bestFit="1" customWidth="1"/>
    <col min="5135" max="5135" width="14.7109375" style="248" bestFit="1" customWidth="1"/>
    <col min="5136" max="5136" width="15.7109375" style="248" bestFit="1" customWidth="1"/>
    <col min="5137" max="5137" width="9.140625" style="248"/>
    <col min="5138" max="5138" width="10.85546875" style="248" customWidth="1"/>
    <col min="5139" max="5378" width="9.140625" style="248"/>
    <col min="5379" max="5379" width="15.7109375" style="248" customWidth="1"/>
    <col min="5380" max="5380" width="12" style="248" customWidth="1"/>
    <col min="5381" max="5381" width="12.85546875" style="248" customWidth="1"/>
    <col min="5382" max="5384" width="10.28515625" style="248" customWidth="1"/>
    <col min="5385" max="5385" width="11.42578125" style="248" customWidth="1"/>
    <col min="5386" max="5386" width="11.28515625" style="248" customWidth="1"/>
    <col min="5387" max="5387" width="13.28515625" style="248" customWidth="1"/>
    <col min="5388" max="5388" width="12" style="248" customWidth="1"/>
    <col min="5389" max="5389" width="13.5703125" style="248" customWidth="1"/>
    <col min="5390" max="5390" width="13.7109375" style="248" bestFit="1" customWidth="1"/>
    <col min="5391" max="5391" width="14.7109375" style="248" bestFit="1" customWidth="1"/>
    <col min="5392" max="5392" width="15.7109375" style="248" bestFit="1" customWidth="1"/>
    <col min="5393" max="5393" width="9.140625" style="248"/>
    <col min="5394" max="5394" width="10.85546875" style="248" customWidth="1"/>
    <col min="5395" max="5634" width="9.140625" style="248"/>
    <col min="5635" max="5635" width="15.7109375" style="248" customWidth="1"/>
    <col min="5636" max="5636" width="12" style="248" customWidth="1"/>
    <col min="5637" max="5637" width="12.85546875" style="248" customWidth="1"/>
    <col min="5638" max="5640" width="10.28515625" style="248" customWidth="1"/>
    <col min="5641" max="5641" width="11.42578125" style="248" customWidth="1"/>
    <col min="5642" max="5642" width="11.28515625" style="248" customWidth="1"/>
    <col min="5643" max="5643" width="13.28515625" style="248" customWidth="1"/>
    <col min="5644" max="5644" width="12" style="248" customWidth="1"/>
    <col min="5645" max="5645" width="13.5703125" style="248" customWidth="1"/>
    <col min="5646" max="5646" width="13.7109375" style="248" bestFit="1" customWidth="1"/>
    <col min="5647" max="5647" width="14.7109375" style="248" bestFit="1" customWidth="1"/>
    <col min="5648" max="5648" width="15.7109375" style="248" bestFit="1" customWidth="1"/>
    <col min="5649" max="5649" width="9.140625" style="248"/>
    <col min="5650" max="5650" width="10.85546875" style="248" customWidth="1"/>
    <col min="5651" max="5890" width="9.140625" style="248"/>
    <col min="5891" max="5891" width="15.7109375" style="248" customWidth="1"/>
    <col min="5892" max="5892" width="12" style="248" customWidth="1"/>
    <col min="5893" max="5893" width="12.85546875" style="248" customWidth="1"/>
    <col min="5894" max="5896" width="10.28515625" style="248" customWidth="1"/>
    <col min="5897" max="5897" width="11.42578125" style="248" customWidth="1"/>
    <col min="5898" max="5898" width="11.28515625" style="248" customWidth="1"/>
    <col min="5899" max="5899" width="13.28515625" style="248" customWidth="1"/>
    <col min="5900" max="5900" width="12" style="248" customWidth="1"/>
    <col min="5901" max="5901" width="13.5703125" style="248" customWidth="1"/>
    <col min="5902" max="5902" width="13.7109375" style="248" bestFit="1" customWidth="1"/>
    <col min="5903" max="5903" width="14.7109375" style="248" bestFit="1" customWidth="1"/>
    <col min="5904" max="5904" width="15.7109375" style="248" bestFit="1" customWidth="1"/>
    <col min="5905" max="5905" width="9.140625" style="248"/>
    <col min="5906" max="5906" width="10.85546875" style="248" customWidth="1"/>
    <col min="5907" max="6146" width="9.140625" style="248"/>
    <col min="6147" max="6147" width="15.7109375" style="248" customWidth="1"/>
    <col min="6148" max="6148" width="12" style="248" customWidth="1"/>
    <col min="6149" max="6149" width="12.85546875" style="248" customWidth="1"/>
    <col min="6150" max="6152" width="10.28515625" style="248" customWidth="1"/>
    <col min="6153" max="6153" width="11.42578125" style="248" customWidth="1"/>
    <col min="6154" max="6154" width="11.28515625" style="248" customWidth="1"/>
    <col min="6155" max="6155" width="13.28515625" style="248" customWidth="1"/>
    <col min="6156" max="6156" width="12" style="248" customWidth="1"/>
    <col min="6157" max="6157" width="13.5703125" style="248" customWidth="1"/>
    <col min="6158" max="6158" width="13.7109375" style="248" bestFit="1" customWidth="1"/>
    <col min="6159" max="6159" width="14.7109375" style="248" bestFit="1" customWidth="1"/>
    <col min="6160" max="6160" width="15.7109375" style="248" bestFit="1" customWidth="1"/>
    <col min="6161" max="6161" width="9.140625" style="248"/>
    <col min="6162" max="6162" width="10.85546875" style="248" customWidth="1"/>
    <col min="6163" max="6402" width="9.140625" style="248"/>
    <col min="6403" max="6403" width="15.7109375" style="248" customWidth="1"/>
    <col min="6404" max="6404" width="12" style="248" customWidth="1"/>
    <col min="6405" max="6405" width="12.85546875" style="248" customWidth="1"/>
    <col min="6406" max="6408" width="10.28515625" style="248" customWidth="1"/>
    <col min="6409" max="6409" width="11.42578125" style="248" customWidth="1"/>
    <col min="6410" max="6410" width="11.28515625" style="248" customWidth="1"/>
    <col min="6411" max="6411" width="13.28515625" style="248" customWidth="1"/>
    <col min="6412" max="6412" width="12" style="248" customWidth="1"/>
    <col min="6413" max="6413" width="13.5703125" style="248" customWidth="1"/>
    <col min="6414" max="6414" width="13.7109375" style="248" bestFit="1" customWidth="1"/>
    <col min="6415" max="6415" width="14.7109375" style="248" bestFit="1" customWidth="1"/>
    <col min="6416" max="6416" width="15.7109375" style="248" bestFit="1" customWidth="1"/>
    <col min="6417" max="6417" width="9.140625" style="248"/>
    <col min="6418" max="6418" width="10.85546875" style="248" customWidth="1"/>
    <col min="6419" max="6658" width="9.140625" style="248"/>
    <col min="6659" max="6659" width="15.7109375" style="248" customWidth="1"/>
    <col min="6660" max="6660" width="12" style="248" customWidth="1"/>
    <col min="6661" max="6661" width="12.85546875" style="248" customWidth="1"/>
    <col min="6662" max="6664" width="10.28515625" style="248" customWidth="1"/>
    <col min="6665" max="6665" width="11.42578125" style="248" customWidth="1"/>
    <col min="6666" max="6666" width="11.28515625" style="248" customWidth="1"/>
    <col min="6667" max="6667" width="13.28515625" style="248" customWidth="1"/>
    <col min="6668" max="6668" width="12" style="248" customWidth="1"/>
    <col min="6669" max="6669" width="13.5703125" style="248" customWidth="1"/>
    <col min="6670" max="6670" width="13.7109375" style="248" bestFit="1" customWidth="1"/>
    <col min="6671" max="6671" width="14.7109375" style="248" bestFit="1" customWidth="1"/>
    <col min="6672" max="6672" width="15.7109375" style="248" bestFit="1" customWidth="1"/>
    <col min="6673" max="6673" width="9.140625" style="248"/>
    <col min="6674" max="6674" width="10.85546875" style="248" customWidth="1"/>
    <col min="6675" max="6914" width="9.140625" style="248"/>
    <col min="6915" max="6915" width="15.7109375" style="248" customWidth="1"/>
    <col min="6916" max="6916" width="12" style="248" customWidth="1"/>
    <col min="6917" max="6917" width="12.85546875" style="248" customWidth="1"/>
    <col min="6918" max="6920" width="10.28515625" style="248" customWidth="1"/>
    <col min="6921" max="6921" width="11.42578125" style="248" customWidth="1"/>
    <col min="6922" max="6922" width="11.28515625" style="248" customWidth="1"/>
    <col min="6923" max="6923" width="13.28515625" style="248" customWidth="1"/>
    <col min="6924" max="6924" width="12" style="248" customWidth="1"/>
    <col min="6925" max="6925" width="13.5703125" style="248" customWidth="1"/>
    <col min="6926" max="6926" width="13.7109375" style="248" bestFit="1" customWidth="1"/>
    <col min="6927" max="6927" width="14.7109375" style="248" bestFit="1" customWidth="1"/>
    <col min="6928" max="6928" width="15.7109375" style="248" bestFit="1" customWidth="1"/>
    <col min="6929" max="6929" width="9.140625" style="248"/>
    <col min="6930" max="6930" width="10.85546875" style="248" customWidth="1"/>
    <col min="6931" max="7170" width="9.140625" style="248"/>
    <col min="7171" max="7171" width="15.7109375" style="248" customWidth="1"/>
    <col min="7172" max="7172" width="12" style="248" customWidth="1"/>
    <col min="7173" max="7173" width="12.85546875" style="248" customWidth="1"/>
    <col min="7174" max="7176" width="10.28515625" style="248" customWidth="1"/>
    <col min="7177" max="7177" width="11.42578125" style="248" customWidth="1"/>
    <col min="7178" max="7178" width="11.28515625" style="248" customWidth="1"/>
    <col min="7179" max="7179" width="13.28515625" style="248" customWidth="1"/>
    <col min="7180" max="7180" width="12" style="248" customWidth="1"/>
    <col min="7181" max="7181" width="13.5703125" style="248" customWidth="1"/>
    <col min="7182" max="7182" width="13.7109375" style="248" bestFit="1" customWidth="1"/>
    <col min="7183" max="7183" width="14.7109375" style="248" bestFit="1" customWidth="1"/>
    <col min="7184" max="7184" width="15.7109375" style="248" bestFit="1" customWidth="1"/>
    <col min="7185" max="7185" width="9.140625" style="248"/>
    <col min="7186" max="7186" width="10.85546875" style="248" customWidth="1"/>
    <col min="7187" max="7426" width="9.140625" style="248"/>
    <col min="7427" max="7427" width="15.7109375" style="248" customWidth="1"/>
    <col min="7428" max="7428" width="12" style="248" customWidth="1"/>
    <col min="7429" max="7429" width="12.85546875" style="248" customWidth="1"/>
    <col min="7430" max="7432" width="10.28515625" style="248" customWidth="1"/>
    <col min="7433" max="7433" width="11.42578125" style="248" customWidth="1"/>
    <col min="7434" max="7434" width="11.28515625" style="248" customWidth="1"/>
    <col min="7435" max="7435" width="13.28515625" style="248" customWidth="1"/>
    <col min="7436" max="7436" width="12" style="248" customWidth="1"/>
    <col min="7437" max="7437" width="13.5703125" style="248" customWidth="1"/>
    <col min="7438" max="7438" width="13.7109375" style="248" bestFit="1" customWidth="1"/>
    <col min="7439" max="7439" width="14.7109375" style="248" bestFit="1" customWidth="1"/>
    <col min="7440" max="7440" width="15.7109375" style="248" bestFit="1" customWidth="1"/>
    <col min="7441" max="7441" width="9.140625" style="248"/>
    <col min="7442" max="7442" width="10.85546875" style="248" customWidth="1"/>
    <col min="7443" max="7682" width="9.140625" style="248"/>
    <col min="7683" max="7683" width="15.7109375" style="248" customWidth="1"/>
    <col min="7684" max="7684" width="12" style="248" customWidth="1"/>
    <col min="7685" max="7685" width="12.85546875" style="248" customWidth="1"/>
    <col min="7686" max="7688" width="10.28515625" style="248" customWidth="1"/>
    <col min="7689" max="7689" width="11.42578125" style="248" customWidth="1"/>
    <col min="7690" max="7690" width="11.28515625" style="248" customWidth="1"/>
    <col min="7691" max="7691" width="13.28515625" style="248" customWidth="1"/>
    <col min="7692" max="7692" width="12" style="248" customWidth="1"/>
    <col min="7693" max="7693" width="13.5703125" style="248" customWidth="1"/>
    <col min="7694" max="7694" width="13.7109375" style="248" bestFit="1" customWidth="1"/>
    <col min="7695" max="7695" width="14.7109375" style="248" bestFit="1" customWidth="1"/>
    <col min="7696" max="7696" width="15.7109375" style="248" bestFit="1" customWidth="1"/>
    <col min="7697" max="7697" width="9.140625" style="248"/>
    <col min="7698" max="7698" width="10.85546875" style="248" customWidth="1"/>
    <col min="7699" max="7938" width="9.140625" style="248"/>
    <col min="7939" max="7939" width="15.7109375" style="248" customWidth="1"/>
    <col min="7940" max="7940" width="12" style="248" customWidth="1"/>
    <col min="7941" max="7941" width="12.85546875" style="248" customWidth="1"/>
    <col min="7942" max="7944" width="10.28515625" style="248" customWidth="1"/>
    <col min="7945" max="7945" width="11.42578125" style="248" customWidth="1"/>
    <col min="7946" max="7946" width="11.28515625" style="248" customWidth="1"/>
    <col min="7947" max="7947" width="13.28515625" style="248" customWidth="1"/>
    <col min="7948" max="7948" width="12" style="248" customWidth="1"/>
    <col min="7949" max="7949" width="13.5703125" style="248" customWidth="1"/>
    <col min="7950" max="7950" width="13.7109375" style="248" bestFit="1" customWidth="1"/>
    <col min="7951" max="7951" width="14.7109375" style="248" bestFit="1" customWidth="1"/>
    <col min="7952" max="7952" width="15.7109375" style="248" bestFit="1" customWidth="1"/>
    <col min="7953" max="7953" width="9.140625" style="248"/>
    <col min="7954" max="7954" width="10.85546875" style="248" customWidth="1"/>
    <col min="7955" max="8194" width="9.140625" style="248"/>
    <col min="8195" max="8195" width="15.7109375" style="248" customWidth="1"/>
    <col min="8196" max="8196" width="12" style="248" customWidth="1"/>
    <col min="8197" max="8197" width="12.85546875" style="248" customWidth="1"/>
    <col min="8198" max="8200" width="10.28515625" style="248" customWidth="1"/>
    <col min="8201" max="8201" width="11.42578125" style="248" customWidth="1"/>
    <col min="8202" max="8202" width="11.28515625" style="248" customWidth="1"/>
    <col min="8203" max="8203" width="13.28515625" style="248" customWidth="1"/>
    <col min="8204" max="8204" width="12" style="248" customWidth="1"/>
    <col min="8205" max="8205" width="13.5703125" style="248" customWidth="1"/>
    <col min="8206" max="8206" width="13.7109375" style="248" bestFit="1" customWidth="1"/>
    <col min="8207" max="8207" width="14.7109375" style="248" bestFit="1" customWidth="1"/>
    <col min="8208" max="8208" width="15.7109375" style="248" bestFit="1" customWidth="1"/>
    <col min="8209" max="8209" width="9.140625" style="248"/>
    <col min="8210" max="8210" width="10.85546875" style="248" customWidth="1"/>
    <col min="8211" max="8450" width="9.140625" style="248"/>
    <col min="8451" max="8451" width="15.7109375" style="248" customWidth="1"/>
    <col min="8452" max="8452" width="12" style="248" customWidth="1"/>
    <col min="8453" max="8453" width="12.85546875" style="248" customWidth="1"/>
    <col min="8454" max="8456" width="10.28515625" style="248" customWidth="1"/>
    <col min="8457" max="8457" width="11.42578125" style="248" customWidth="1"/>
    <col min="8458" max="8458" width="11.28515625" style="248" customWidth="1"/>
    <col min="8459" max="8459" width="13.28515625" style="248" customWidth="1"/>
    <col min="8460" max="8460" width="12" style="248" customWidth="1"/>
    <col min="8461" max="8461" width="13.5703125" style="248" customWidth="1"/>
    <col min="8462" max="8462" width="13.7109375" style="248" bestFit="1" customWidth="1"/>
    <col min="8463" max="8463" width="14.7109375" style="248" bestFit="1" customWidth="1"/>
    <col min="8464" max="8464" width="15.7109375" style="248" bestFit="1" customWidth="1"/>
    <col min="8465" max="8465" width="9.140625" style="248"/>
    <col min="8466" max="8466" width="10.85546875" style="248" customWidth="1"/>
    <col min="8467" max="8706" width="9.140625" style="248"/>
    <col min="8707" max="8707" width="15.7109375" style="248" customWidth="1"/>
    <col min="8708" max="8708" width="12" style="248" customWidth="1"/>
    <col min="8709" max="8709" width="12.85546875" style="248" customWidth="1"/>
    <col min="8710" max="8712" width="10.28515625" style="248" customWidth="1"/>
    <col min="8713" max="8713" width="11.42578125" style="248" customWidth="1"/>
    <col min="8714" max="8714" width="11.28515625" style="248" customWidth="1"/>
    <col min="8715" max="8715" width="13.28515625" style="248" customWidth="1"/>
    <col min="8716" max="8716" width="12" style="248" customWidth="1"/>
    <col min="8717" max="8717" width="13.5703125" style="248" customWidth="1"/>
    <col min="8718" max="8718" width="13.7109375" style="248" bestFit="1" customWidth="1"/>
    <col min="8719" max="8719" width="14.7109375" style="248" bestFit="1" customWidth="1"/>
    <col min="8720" max="8720" width="15.7109375" style="248" bestFit="1" customWidth="1"/>
    <col min="8721" max="8721" width="9.140625" style="248"/>
    <col min="8722" max="8722" width="10.85546875" style="248" customWidth="1"/>
    <col min="8723" max="8962" width="9.140625" style="248"/>
    <col min="8963" max="8963" width="15.7109375" style="248" customWidth="1"/>
    <col min="8964" max="8964" width="12" style="248" customWidth="1"/>
    <col min="8965" max="8965" width="12.85546875" style="248" customWidth="1"/>
    <col min="8966" max="8968" width="10.28515625" style="248" customWidth="1"/>
    <col min="8969" max="8969" width="11.42578125" style="248" customWidth="1"/>
    <col min="8970" max="8970" width="11.28515625" style="248" customWidth="1"/>
    <col min="8971" max="8971" width="13.28515625" style="248" customWidth="1"/>
    <col min="8972" max="8972" width="12" style="248" customWidth="1"/>
    <col min="8973" max="8973" width="13.5703125" style="248" customWidth="1"/>
    <col min="8974" max="8974" width="13.7109375" style="248" bestFit="1" customWidth="1"/>
    <col min="8975" max="8975" width="14.7109375" style="248" bestFit="1" customWidth="1"/>
    <col min="8976" max="8976" width="15.7109375" style="248" bestFit="1" customWidth="1"/>
    <col min="8977" max="8977" width="9.140625" style="248"/>
    <col min="8978" max="8978" width="10.85546875" style="248" customWidth="1"/>
    <col min="8979" max="9218" width="9.140625" style="248"/>
    <col min="9219" max="9219" width="15.7109375" style="248" customWidth="1"/>
    <col min="9220" max="9220" width="12" style="248" customWidth="1"/>
    <col min="9221" max="9221" width="12.85546875" style="248" customWidth="1"/>
    <col min="9222" max="9224" width="10.28515625" style="248" customWidth="1"/>
    <col min="9225" max="9225" width="11.42578125" style="248" customWidth="1"/>
    <col min="9226" max="9226" width="11.28515625" style="248" customWidth="1"/>
    <col min="9227" max="9227" width="13.28515625" style="248" customWidth="1"/>
    <col min="9228" max="9228" width="12" style="248" customWidth="1"/>
    <col min="9229" max="9229" width="13.5703125" style="248" customWidth="1"/>
    <col min="9230" max="9230" width="13.7109375" style="248" bestFit="1" customWidth="1"/>
    <col min="9231" max="9231" width="14.7109375" style="248" bestFit="1" customWidth="1"/>
    <col min="9232" max="9232" width="15.7109375" style="248" bestFit="1" customWidth="1"/>
    <col min="9233" max="9233" width="9.140625" style="248"/>
    <col min="9234" max="9234" width="10.85546875" style="248" customWidth="1"/>
    <col min="9235" max="9474" width="9.140625" style="248"/>
    <col min="9475" max="9475" width="15.7109375" style="248" customWidth="1"/>
    <col min="9476" max="9476" width="12" style="248" customWidth="1"/>
    <col min="9477" max="9477" width="12.85546875" style="248" customWidth="1"/>
    <col min="9478" max="9480" width="10.28515625" style="248" customWidth="1"/>
    <col min="9481" max="9481" width="11.42578125" style="248" customWidth="1"/>
    <col min="9482" max="9482" width="11.28515625" style="248" customWidth="1"/>
    <col min="9483" max="9483" width="13.28515625" style="248" customWidth="1"/>
    <col min="9484" max="9484" width="12" style="248" customWidth="1"/>
    <col min="9485" max="9485" width="13.5703125" style="248" customWidth="1"/>
    <col min="9486" max="9486" width="13.7109375" style="248" bestFit="1" customWidth="1"/>
    <col min="9487" max="9487" width="14.7109375" style="248" bestFit="1" customWidth="1"/>
    <col min="9488" max="9488" width="15.7109375" style="248" bestFit="1" customWidth="1"/>
    <col min="9489" max="9489" width="9.140625" style="248"/>
    <col min="9490" max="9490" width="10.85546875" style="248" customWidth="1"/>
    <col min="9491" max="9730" width="9.140625" style="248"/>
    <col min="9731" max="9731" width="15.7109375" style="248" customWidth="1"/>
    <col min="9732" max="9732" width="12" style="248" customWidth="1"/>
    <col min="9733" max="9733" width="12.85546875" style="248" customWidth="1"/>
    <col min="9734" max="9736" width="10.28515625" style="248" customWidth="1"/>
    <col min="9737" max="9737" width="11.42578125" style="248" customWidth="1"/>
    <col min="9738" max="9738" width="11.28515625" style="248" customWidth="1"/>
    <col min="9739" max="9739" width="13.28515625" style="248" customWidth="1"/>
    <col min="9740" max="9740" width="12" style="248" customWidth="1"/>
    <col min="9741" max="9741" width="13.5703125" style="248" customWidth="1"/>
    <col min="9742" max="9742" width="13.7109375" style="248" bestFit="1" customWidth="1"/>
    <col min="9743" max="9743" width="14.7109375" style="248" bestFit="1" customWidth="1"/>
    <col min="9744" max="9744" width="15.7109375" style="248" bestFit="1" customWidth="1"/>
    <col min="9745" max="9745" width="9.140625" style="248"/>
    <col min="9746" max="9746" width="10.85546875" style="248" customWidth="1"/>
    <col min="9747" max="9986" width="9.140625" style="248"/>
    <col min="9987" max="9987" width="15.7109375" style="248" customWidth="1"/>
    <col min="9988" max="9988" width="12" style="248" customWidth="1"/>
    <col min="9989" max="9989" width="12.85546875" style="248" customWidth="1"/>
    <col min="9990" max="9992" width="10.28515625" style="248" customWidth="1"/>
    <col min="9993" max="9993" width="11.42578125" style="248" customWidth="1"/>
    <col min="9994" max="9994" width="11.28515625" style="248" customWidth="1"/>
    <col min="9995" max="9995" width="13.28515625" style="248" customWidth="1"/>
    <col min="9996" max="9996" width="12" style="248" customWidth="1"/>
    <col min="9997" max="9997" width="13.5703125" style="248" customWidth="1"/>
    <col min="9998" max="9998" width="13.7109375" style="248" bestFit="1" customWidth="1"/>
    <col min="9999" max="9999" width="14.7109375" style="248" bestFit="1" customWidth="1"/>
    <col min="10000" max="10000" width="15.7109375" style="248" bestFit="1" customWidth="1"/>
    <col min="10001" max="10001" width="9.140625" style="248"/>
    <col min="10002" max="10002" width="10.85546875" style="248" customWidth="1"/>
    <col min="10003" max="10242" width="9.140625" style="248"/>
    <col min="10243" max="10243" width="15.7109375" style="248" customWidth="1"/>
    <col min="10244" max="10244" width="12" style="248" customWidth="1"/>
    <col min="10245" max="10245" width="12.85546875" style="248" customWidth="1"/>
    <col min="10246" max="10248" width="10.28515625" style="248" customWidth="1"/>
    <col min="10249" max="10249" width="11.42578125" style="248" customWidth="1"/>
    <col min="10250" max="10250" width="11.28515625" style="248" customWidth="1"/>
    <col min="10251" max="10251" width="13.28515625" style="248" customWidth="1"/>
    <col min="10252" max="10252" width="12" style="248" customWidth="1"/>
    <col min="10253" max="10253" width="13.5703125" style="248" customWidth="1"/>
    <col min="10254" max="10254" width="13.7109375" style="248" bestFit="1" customWidth="1"/>
    <col min="10255" max="10255" width="14.7109375" style="248" bestFit="1" customWidth="1"/>
    <col min="10256" max="10256" width="15.7109375" style="248" bestFit="1" customWidth="1"/>
    <col min="10257" max="10257" width="9.140625" style="248"/>
    <col min="10258" max="10258" width="10.85546875" style="248" customWidth="1"/>
    <col min="10259" max="10498" width="9.140625" style="248"/>
    <col min="10499" max="10499" width="15.7109375" style="248" customWidth="1"/>
    <col min="10500" max="10500" width="12" style="248" customWidth="1"/>
    <col min="10501" max="10501" width="12.85546875" style="248" customWidth="1"/>
    <col min="10502" max="10504" width="10.28515625" style="248" customWidth="1"/>
    <col min="10505" max="10505" width="11.42578125" style="248" customWidth="1"/>
    <col min="10506" max="10506" width="11.28515625" style="248" customWidth="1"/>
    <col min="10507" max="10507" width="13.28515625" style="248" customWidth="1"/>
    <col min="10508" max="10508" width="12" style="248" customWidth="1"/>
    <col min="10509" max="10509" width="13.5703125" style="248" customWidth="1"/>
    <col min="10510" max="10510" width="13.7109375" style="248" bestFit="1" customWidth="1"/>
    <col min="10511" max="10511" width="14.7109375" style="248" bestFit="1" customWidth="1"/>
    <col min="10512" max="10512" width="15.7109375" style="248" bestFit="1" customWidth="1"/>
    <col min="10513" max="10513" width="9.140625" style="248"/>
    <col min="10514" max="10514" width="10.85546875" style="248" customWidth="1"/>
    <col min="10515" max="10754" width="9.140625" style="248"/>
    <col min="10755" max="10755" width="15.7109375" style="248" customWidth="1"/>
    <col min="10756" max="10756" width="12" style="248" customWidth="1"/>
    <col min="10757" max="10757" width="12.85546875" style="248" customWidth="1"/>
    <col min="10758" max="10760" width="10.28515625" style="248" customWidth="1"/>
    <col min="10761" max="10761" width="11.42578125" style="248" customWidth="1"/>
    <col min="10762" max="10762" width="11.28515625" style="248" customWidth="1"/>
    <col min="10763" max="10763" width="13.28515625" style="248" customWidth="1"/>
    <col min="10764" max="10764" width="12" style="248" customWidth="1"/>
    <col min="10765" max="10765" width="13.5703125" style="248" customWidth="1"/>
    <col min="10766" max="10766" width="13.7109375" style="248" bestFit="1" customWidth="1"/>
    <col min="10767" max="10767" width="14.7109375" style="248" bestFit="1" customWidth="1"/>
    <col min="10768" max="10768" width="15.7109375" style="248" bestFit="1" customWidth="1"/>
    <col min="10769" max="10769" width="9.140625" style="248"/>
    <col min="10770" max="10770" width="10.85546875" style="248" customWidth="1"/>
    <col min="10771" max="11010" width="9.140625" style="248"/>
    <col min="11011" max="11011" width="15.7109375" style="248" customWidth="1"/>
    <col min="11012" max="11012" width="12" style="248" customWidth="1"/>
    <col min="11013" max="11013" width="12.85546875" style="248" customWidth="1"/>
    <col min="11014" max="11016" width="10.28515625" style="248" customWidth="1"/>
    <col min="11017" max="11017" width="11.42578125" style="248" customWidth="1"/>
    <col min="11018" max="11018" width="11.28515625" style="248" customWidth="1"/>
    <col min="11019" max="11019" width="13.28515625" style="248" customWidth="1"/>
    <col min="11020" max="11020" width="12" style="248" customWidth="1"/>
    <col min="11021" max="11021" width="13.5703125" style="248" customWidth="1"/>
    <col min="11022" max="11022" width="13.7109375" style="248" bestFit="1" customWidth="1"/>
    <col min="11023" max="11023" width="14.7109375" style="248" bestFit="1" customWidth="1"/>
    <col min="11024" max="11024" width="15.7109375" style="248" bestFit="1" customWidth="1"/>
    <col min="11025" max="11025" width="9.140625" style="248"/>
    <col min="11026" max="11026" width="10.85546875" style="248" customWidth="1"/>
    <col min="11027" max="11266" width="9.140625" style="248"/>
    <col min="11267" max="11267" width="15.7109375" style="248" customWidth="1"/>
    <col min="11268" max="11268" width="12" style="248" customWidth="1"/>
    <col min="11269" max="11269" width="12.85546875" style="248" customWidth="1"/>
    <col min="11270" max="11272" width="10.28515625" style="248" customWidth="1"/>
    <col min="11273" max="11273" width="11.42578125" style="248" customWidth="1"/>
    <col min="11274" max="11274" width="11.28515625" style="248" customWidth="1"/>
    <col min="11275" max="11275" width="13.28515625" style="248" customWidth="1"/>
    <col min="11276" max="11276" width="12" style="248" customWidth="1"/>
    <col min="11277" max="11277" width="13.5703125" style="248" customWidth="1"/>
    <col min="11278" max="11278" width="13.7109375" style="248" bestFit="1" customWidth="1"/>
    <col min="11279" max="11279" width="14.7109375" style="248" bestFit="1" customWidth="1"/>
    <col min="11280" max="11280" width="15.7109375" style="248" bestFit="1" customWidth="1"/>
    <col min="11281" max="11281" width="9.140625" style="248"/>
    <col min="11282" max="11282" width="10.85546875" style="248" customWidth="1"/>
    <col min="11283" max="11522" width="9.140625" style="248"/>
    <col min="11523" max="11523" width="15.7109375" style="248" customWidth="1"/>
    <col min="11524" max="11524" width="12" style="248" customWidth="1"/>
    <col min="11525" max="11525" width="12.85546875" style="248" customWidth="1"/>
    <col min="11526" max="11528" width="10.28515625" style="248" customWidth="1"/>
    <col min="11529" max="11529" width="11.42578125" style="248" customWidth="1"/>
    <col min="11530" max="11530" width="11.28515625" style="248" customWidth="1"/>
    <col min="11531" max="11531" width="13.28515625" style="248" customWidth="1"/>
    <col min="11532" max="11532" width="12" style="248" customWidth="1"/>
    <col min="11533" max="11533" width="13.5703125" style="248" customWidth="1"/>
    <col min="11534" max="11534" width="13.7109375" style="248" bestFit="1" customWidth="1"/>
    <col min="11535" max="11535" width="14.7109375" style="248" bestFit="1" customWidth="1"/>
    <col min="11536" max="11536" width="15.7109375" style="248" bestFit="1" customWidth="1"/>
    <col min="11537" max="11537" width="9.140625" style="248"/>
    <col min="11538" max="11538" width="10.85546875" style="248" customWidth="1"/>
    <col min="11539" max="11778" width="9.140625" style="248"/>
    <col min="11779" max="11779" width="15.7109375" style="248" customWidth="1"/>
    <col min="11780" max="11780" width="12" style="248" customWidth="1"/>
    <col min="11781" max="11781" width="12.85546875" style="248" customWidth="1"/>
    <col min="11782" max="11784" width="10.28515625" style="248" customWidth="1"/>
    <col min="11785" max="11785" width="11.42578125" style="248" customWidth="1"/>
    <col min="11786" max="11786" width="11.28515625" style="248" customWidth="1"/>
    <col min="11787" max="11787" width="13.28515625" style="248" customWidth="1"/>
    <col min="11788" max="11788" width="12" style="248" customWidth="1"/>
    <col min="11789" max="11789" width="13.5703125" style="248" customWidth="1"/>
    <col min="11790" max="11790" width="13.7109375" style="248" bestFit="1" customWidth="1"/>
    <col min="11791" max="11791" width="14.7109375" style="248" bestFit="1" customWidth="1"/>
    <col min="11792" max="11792" width="15.7109375" style="248" bestFit="1" customWidth="1"/>
    <col min="11793" max="11793" width="9.140625" style="248"/>
    <col min="11794" max="11794" width="10.85546875" style="248" customWidth="1"/>
    <col min="11795" max="12034" width="9.140625" style="248"/>
    <col min="12035" max="12035" width="15.7109375" style="248" customWidth="1"/>
    <col min="12036" max="12036" width="12" style="248" customWidth="1"/>
    <col min="12037" max="12037" width="12.85546875" style="248" customWidth="1"/>
    <col min="12038" max="12040" width="10.28515625" style="248" customWidth="1"/>
    <col min="12041" max="12041" width="11.42578125" style="248" customWidth="1"/>
    <col min="12042" max="12042" width="11.28515625" style="248" customWidth="1"/>
    <col min="12043" max="12043" width="13.28515625" style="248" customWidth="1"/>
    <col min="12044" max="12044" width="12" style="248" customWidth="1"/>
    <col min="12045" max="12045" width="13.5703125" style="248" customWidth="1"/>
    <col min="12046" max="12046" width="13.7109375" style="248" bestFit="1" customWidth="1"/>
    <col min="12047" max="12047" width="14.7109375" style="248" bestFit="1" customWidth="1"/>
    <col min="12048" max="12048" width="15.7109375" style="248" bestFit="1" customWidth="1"/>
    <col min="12049" max="12049" width="9.140625" style="248"/>
    <col min="12050" max="12050" width="10.85546875" style="248" customWidth="1"/>
    <col min="12051" max="12290" width="9.140625" style="248"/>
    <col min="12291" max="12291" width="15.7109375" style="248" customWidth="1"/>
    <col min="12292" max="12292" width="12" style="248" customWidth="1"/>
    <col min="12293" max="12293" width="12.85546875" style="248" customWidth="1"/>
    <col min="12294" max="12296" width="10.28515625" style="248" customWidth="1"/>
    <col min="12297" max="12297" width="11.42578125" style="248" customWidth="1"/>
    <col min="12298" max="12298" width="11.28515625" style="248" customWidth="1"/>
    <col min="12299" max="12299" width="13.28515625" style="248" customWidth="1"/>
    <col min="12300" max="12300" width="12" style="248" customWidth="1"/>
    <col min="12301" max="12301" width="13.5703125" style="248" customWidth="1"/>
    <col min="12302" max="12302" width="13.7109375" style="248" bestFit="1" customWidth="1"/>
    <col min="12303" max="12303" width="14.7109375" style="248" bestFit="1" customWidth="1"/>
    <col min="12304" max="12304" width="15.7109375" style="248" bestFit="1" customWidth="1"/>
    <col min="12305" max="12305" width="9.140625" style="248"/>
    <col min="12306" max="12306" width="10.85546875" style="248" customWidth="1"/>
    <col min="12307" max="12546" width="9.140625" style="248"/>
    <col min="12547" max="12547" width="15.7109375" style="248" customWidth="1"/>
    <col min="12548" max="12548" width="12" style="248" customWidth="1"/>
    <col min="12549" max="12549" width="12.85546875" style="248" customWidth="1"/>
    <col min="12550" max="12552" width="10.28515625" style="248" customWidth="1"/>
    <col min="12553" max="12553" width="11.42578125" style="248" customWidth="1"/>
    <col min="12554" max="12554" width="11.28515625" style="248" customWidth="1"/>
    <col min="12555" max="12555" width="13.28515625" style="248" customWidth="1"/>
    <col min="12556" max="12556" width="12" style="248" customWidth="1"/>
    <col min="12557" max="12557" width="13.5703125" style="248" customWidth="1"/>
    <col min="12558" max="12558" width="13.7109375" style="248" bestFit="1" customWidth="1"/>
    <col min="12559" max="12559" width="14.7109375" style="248" bestFit="1" customWidth="1"/>
    <col min="12560" max="12560" width="15.7109375" style="248" bestFit="1" customWidth="1"/>
    <col min="12561" max="12561" width="9.140625" style="248"/>
    <col min="12562" max="12562" width="10.85546875" style="248" customWidth="1"/>
    <col min="12563" max="12802" width="9.140625" style="248"/>
    <col min="12803" max="12803" width="15.7109375" style="248" customWidth="1"/>
    <col min="12804" max="12804" width="12" style="248" customWidth="1"/>
    <col min="12805" max="12805" width="12.85546875" style="248" customWidth="1"/>
    <col min="12806" max="12808" width="10.28515625" style="248" customWidth="1"/>
    <col min="12809" max="12809" width="11.42578125" style="248" customWidth="1"/>
    <col min="12810" max="12810" width="11.28515625" style="248" customWidth="1"/>
    <col min="12811" max="12811" width="13.28515625" style="248" customWidth="1"/>
    <col min="12812" max="12812" width="12" style="248" customWidth="1"/>
    <col min="12813" max="12813" width="13.5703125" style="248" customWidth="1"/>
    <col min="12814" max="12814" width="13.7109375" style="248" bestFit="1" customWidth="1"/>
    <col min="12815" max="12815" width="14.7109375" style="248" bestFit="1" customWidth="1"/>
    <col min="12816" max="12816" width="15.7109375" style="248" bestFit="1" customWidth="1"/>
    <col min="12817" max="12817" width="9.140625" style="248"/>
    <col min="12818" max="12818" width="10.85546875" style="248" customWidth="1"/>
    <col min="12819" max="13058" width="9.140625" style="248"/>
    <col min="13059" max="13059" width="15.7109375" style="248" customWidth="1"/>
    <col min="13060" max="13060" width="12" style="248" customWidth="1"/>
    <col min="13061" max="13061" width="12.85546875" style="248" customWidth="1"/>
    <col min="13062" max="13064" width="10.28515625" style="248" customWidth="1"/>
    <col min="13065" max="13065" width="11.42578125" style="248" customWidth="1"/>
    <col min="13066" max="13066" width="11.28515625" style="248" customWidth="1"/>
    <col min="13067" max="13067" width="13.28515625" style="248" customWidth="1"/>
    <col min="13068" max="13068" width="12" style="248" customWidth="1"/>
    <col min="13069" max="13069" width="13.5703125" style="248" customWidth="1"/>
    <col min="13070" max="13070" width="13.7109375" style="248" bestFit="1" customWidth="1"/>
    <col min="13071" max="13071" width="14.7109375" style="248" bestFit="1" customWidth="1"/>
    <col min="13072" max="13072" width="15.7109375" style="248" bestFit="1" customWidth="1"/>
    <col min="13073" max="13073" width="9.140625" style="248"/>
    <col min="13074" max="13074" width="10.85546875" style="248" customWidth="1"/>
    <col min="13075" max="13314" width="9.140625" style="248"/>
    <col min="13315" max="13315" width="15.7109375" style="248" customWidth="1"/>
    <col min="13316" max="13316" width="12" style="248" customWidth="1"/>
    <col min="13317" max="13317" width="12.85546875" style="248" customWidth="1"/>
    <col min="13318" max="13320" width="10.28515625" style="248" customWidth="1"/>
    <col min="13321" max="13321" width="11.42578125" style="248" customWidth="1"/>
    <col min="13322" max="13322" width="11.28515625" style="248" customWidth="1"/>
    <col min="13323" max="13323" width="13.28515625" style="248" customWidth="1"/>
    <col min="13324" max="13324" width="12" style="248" customWidth="1"/>
    <col min="13325" max="13325" width="13.5703125" style="248" customWidth="1"/>
    <col min="13326" max="13326" width="13.7109375" style="248" bestFit="1" customWidth="1"/>
    <col min="13327" max="13327" width="14.7109375" style="248" bestFit="1" customWidth="1"/>
    <col min="13328" max="13328" width="15.7109375" style="248" bestFit="1" customWidth="1"/>
    <col min="13329" max="13329" width="9.140625" style="248"/>
    <col min="13330" max="13330" width="10.85546875" style="248" customWidth="1"/>
    <col min="13331" max="13570" width="9.140625" style="248"/>
    <col min="13571" max="13571" width="15.7109375" style="248" customWidth="1"/>
    <col min="13572" max="13572" width="12" style="248" customWidth="1"/>
    <col min="13573" max="13573" width="12.85546875" style="248" customWidth="1"/>
    <col min="13574" max="13576" width="10.28515625" style="248" customWidth="1"/>
    <col min="13577" max="13577" width="11.42578125" style="248" customWidth="1"/>
    <col min="13578" max="13578" width="11.28515625" style="248" customWidth="1"/>
    <col min="13579" max="13579" width="13.28515625" style="248" customWidth="1"/>
    <col min="13580" max="13580" width="12" style="248" customWidth="1"/>
    <col min="13581" max="13581" width="13.5703125" style="248" customWidth="1"/>
    <col min="13582" max="13582" width="13.7109375" style="248" bestFit="1" customWidth="1"/>
    <col min="13583" max="13583" width="14.7109375" style="248" bestFit="1" customWidth="1"/>
    <col min="13584" max="13584" width="15.7109375" style="248" bestFit="1" customWidth="1"/>
    <col min="13585" max="13585" width="9.140625" style="248"/>
    <col min="13586" max="13586" width="10.85546875" style="248" customWidth="1"/>
    <col min="13587" max="13826" width="9.140625" style="248"/>
    <col min="13827" max="13827" width="15.7109375" style="248" customWidth="1"/>
    <col min="13828" max="13828" width="12" style="248" customWidth="1"/>
    <col min="13829" max="13829" width="12.85546875" style="248" customWidth="1"/>
    <col min="13830" max="13832" width="10.28515625" style="248" customWidth="1"/>
    <col min="13833" max="13833" width="11.42578125" style="248" customWidth="1"/>
    <col min="13834" max="13834" width="11.28515625" style="248" customWidth="1"/>
    <col min="13835" max="13835" width="13.28515625" style="248" customWidth="1"/>
    <col min="13836" max="13836" width="12" style="248" customWidth="1"/>
    <col min="13837" max="13837" width="13.5703125" style="248" customWidth="1"/>
    <col min="13838" max="13838" width="13.7109375" style="248" bestFit="1" customWidth="1"/>
    <col min="13839" max="13839" width="14.7109375" style="248" bestFit="1" customWidth="1"/>
    <col min="13840" max="13840" width="15.7109375" style="248" bestFit="1" customWidth="1"/>
    <col min="13841" max="13841" width="9.140625" style="248"/>
    <col min="13842" max="13842" width="10.85546875" style="248" customWidth="1"/>
    <col min="13843" max="14082" width="9.140625" style="248"/>
    <col min="14083" max="14083" width="15.7109375" style="248" customWidth="1"/>
    <col min="14084" max="14084" width="12" style="248" customWidth="1"/>
    <col min="14085" max="14085" width="12.85546875" style="248" customWidth="1"/>
    <col min="14086" max="14088" width="10.28515625" style="248" customWidth="1"/>
    <col min="14089" max="14089" width="11.42578125" style="248" customWidth="1"/>
    <col min="14090" max="14090" width="11.28515625" style="248" customWidth="1"/>
    <col min="14091" max="14091" width="13.28515625" style="248" customWidth="1"/>
    <col min="14092" max="14092" width="12" style="248" customWidth="1"/>
    <col min="14093" max="14093" width="13.5703125" style="248" customWidth="1"/>
    <col min="14094" max="14094" width="13.7109375" style="248" bestFit="1" customWidth="1"/>
    <col min="14095" max="14095" width="14.7109375" style="248" bestFit="1" customWidth="1"/>
    <col min="14096" max="14096" width="15.7109375" style="248" bestFit="1" customWidth="1"/>
    <col min="14097" max="14097" width="9.140625" style="248"/>
    <col min="14098" max="14098" width="10.85546875" style="248" customWidth="1"/>
    <col min="14099" max="14338" width="9.140625" style="248"/>
    <col min="14339" max="14339" width="15.7109375" style="248" customWidth="1"/>
    <col min="14340" max="14340" width="12" style="248" customWidth="1"/>
    <col min="14341" max="14341" width="12.85546875" style="248" customWidth="1"/>
    <col min="14342" max="14344" width="10.28515625" style="248" customWidth="1"/>
    <col min="14345" max="14345" width="11.42578125" style="248" customWidth="1"/>
    <col min="14346" max="14346" width="11.28515625" style="248" customWidth="1"/>
    <col min="14347" max="14347" width="13.28515625" style="248" customWidth="1"/>
    <col min="14348" max="14348" width="12" style="248" customWidth="1"/>
    <col min="14349" max="14349" width="13.5703125" style="248" customWidth="1"/>
    <col min="14350" max="14350" width="13.7109375" style="248" bestFit="1" customWidth="1"/>
    <col min="14351" max="14351" width="14.7109375" style="248" bestFit="1" customWidth="1"/>
    <col min="14352" max="14352" width="15.7109375" style="248" bestFit="1" customWidth="1"/>
    <col min="14353" max="14353" width="9.140625" style="248"/>
    <col min="14354" max="14354" width="10.85546875" style="248" customWidth="1"/>
    <col min="14355" max="14594" width="9.140625" style="248"/>
    <col min="14595" max="14595" width="15.7109375" style="248" customWidth="1"/>
    <col min="14596" max="14596" width="12" style="248" customWidth="1"/>
    <col min="14597" max="14597" width="12.85546875" style="248" customWidth="1"/>
    <col min="14598" max="14600" width="10.28515625" style="248" customWidth="1"/>
    <col min="14601" max="14601" width="11.42578125" style="248" customWidth="1"/>
    <col min="14602" max="14602" width="11.28515625" style="248" customWidth="1"/>
    <col min="14603" max="14603" width="13.28515625" style="248" customWidth="1"/>
    <col min="14604" max="14604" width="12" style="248" customWidth="1"/>
    <col min="14605" max="14605" width="13.5703125" style="248" customWidth="1"/>
    <col min="14606" max="14606" width="13.7109375" style="248" bestFit="1" customWidth="1"/>
    <col min="14607" max="14607" width="14.7109375" style="248" bestFit="1" customWidth="1"/>
    <col min="14608" max="14608" width="15.7109375" style="248" bestFit="1" customWidth="1"/>
    <col min="14609" max="14609" width="9.140625" style="248"/>
    <col min="14610" max="14610" width="10.85546875" style="248" customWidth="1"/>
    <col min="14611" max="14850" width="9.140625" style="248"/>
    <col min="14851" max="14851" width="15.7109375" style="248" customWidth="1"/>
    <col min="14852" max="14852" width="12" style="248" customWidth="1"/>
    <col min="14853" max="14853" width="12.85546875" style="248" customWidth="1"/>
    <col min="14854" max="14856" width="10.28515625" style="248" customWidth="1"/>
    <col min="14857" max="14857" width="11.42578125" style="248" customWidth="1"/>
    <col min="14858" max="14858" width="11.28515625" style="248" customWidth="1"/>
    <col min="14859" max="14859" width="13.28515625" style="248" customWidth="1"/>
    <col min="14860" max="14860" width="12" style="248" customWidth="1"/>
    <col min="14861" max="14861" width="13.5703125" style="248" customWidth="1"/>
    <col min="14862" max="14862" width="13.7109375" style="248" bestFit="1" customWidth="1"/>
    <col min="14863" max="14863" width="14.7109375" style="248" bestFit="1" customWidth="1"/>
    <col min="14864" max="14864" width="15.7109375" style="248" bestFit="1" customWidth="1"/>
    <col min="14865" max="14865" width="9.140625" style="248"/>
    <col min="14866" max="14866" width="10.85546875" style="248" customWidth="1"/>
    <col min="14867" max="15106" width="9.140625" style="248"/>
    <col min="15107" max="15107" width="15.7109375" style="248" customWidth="1"/>
    <col min="15108" max="15108" width="12" style="248" customWidth="1"/>
    <col min="15109" max="15109" width="12.85546875" style="248" customWidth="1"/>
    <col min="15110" max="15112" width="10.28515625" style="248" customWidth="1"/>
    <col min="15113" max="15113" width="11.42578125" style="248" customWidth="1"/>
    <col min="15114" max="15114" width="11.28515625" style="248" customWidth="1"/>
    <col min="15115" max="15115" width="13.28515625" style="248" customWidth="1"/>
    <col min="15116" max="15116" width="12" style="248" customWidth="1"/>
    <col min="15117" max="15117" width="13.5703125" style="248" customWidth="1"/>
    <col min="15118" max="15118" width="13.7109375" style="248" bestFit="1" customWidth="1"/>
    <col min="15119" max="15119" width="14.7109375" style="248" bestFit="1" customWidth="1"/>
    <col min="15120" max="15120" width="15.7109375" style="248" bestFit="1" customWidth="1"/>
    <col min="15121" max="15121" width="9.140625" style="248"/>
    <col min="15122" max="15122" width="10.85546875" style="248" customWidth="1"/>
    <col min="15123" max="15362" width="9.140625" style="248"/>
    <col min="15363" max="15363" width="15.7109375" style="248" customWidth="1"/>
    <col min="15364" max="15364" width="12" style="248" customWidth="1"/>
    <col min="15365" max="15365" width="12.85546875" style="248" customWidth="1"/>
    <col min="15366" max="15368" width="10.28515625" style="248" customWidth="1"/>
    <col min="15369" max="15369" width="11.42578125" style="248" customWidth="1"/>
    <col min="15370" max="15370" width="11.28515625" style="248" customWidth="1"/>
    <col min="15371" max="15371" width="13.28515625" style="248" customWidth="1"/>
    <col min="15372" max="15372" width="12" style="248" customWidth="1"/>
    <col min="15373" max="15373" width="13.5703125" style="248" customWidth="1"/>
    <col min="15374" max="15374" width="13.7109375" style="248" bestFit="1" customWidth="1"/>
    <col min="15375" max="15375" width="14.7109375" style="248" bestFit="1" customWidth="1"/>
    <col min="15376" max="15376" width="15.7109375" style="248" bestFit="1" customWidth="1"/>
    <col min="15377" max="15377" width="9.140625" style="248"/>
    <col min="15378" max="15378" width="10.85546875" style="248" customWidth="1"/>
    <col min="15379" max="15618" width="9.140625" style="248"/>
    <col min="15619" max="15619" width="15.7109375" style="248" customWidth="1"/>
    <col min="15620" max="15620" width="12" style="248" customWidth="1"/>
    <col min="15621" max="15621" width="12.85546875" style="248" customWidth="1"/>
    <col min="15622" max="15624" width="10.28515625" style="248" customWidth="1"/>
    <col min="15625" max="15625" width="11.42578125" style="248" customWidth="1"/>
    <col min="15626" max="15626" width="11.28515625" style="248" customWidth="1"/>
    <col min="15627" max="15627" width="13.28515625" style="248" customWidth="1"/>
    <col min="15628" max="15628" width="12" style="248" customWidth="1"/>
    <col min="15629" max="15629" width="13.5703125" style="248" customWidth="1"/>
    <col min="15630" max="15630" width="13.7109375" style="248" bestFit="1" customWidth="1"/>
    <col min="15631" max="15631" width="14.7109375" style="248" bestFit="1" customWidth="1"/>
    <col min="15632" max="15632" width="15.7109375" style="248" bestFit="1" customWidth="1"/>
    <col min="15633" max="15633" width="9.140625" style="248"/>
    <col min="15634" max="15634" width="10.85546875" style="248" customWidth="1"/>
    <col min="15635" max="15874" width="9.140625" style="248"/>
    <col min="15875" max="15875" width="15.7109375" style="248" customWidth="1"/>
    <col min="15876" max="15876" width="12" style="248" customWidth="1"/>
    <col min="15877" max="15877" width="12.85546875" style="248" customWidth="1"/>
    <col min="15878" max="15880" width="10.28515625" style="248" customWidth="1"/>
    <col min="15881" max="15881" width="11.42578125" style="248" customWidth="1"/>
    <col min="15882" max="15882" width="11.28515625" style="248" customWidth="1"/>
    <col min="15883" max="15883" width="13.28515625" style="248" customWidth="1"/>
    <col min="15884" max="15884" width="12" style="248" customWidth="1"/>
    <col min="15885" max="15885" width="13.5703125" style="248" customWidth="1"/>
    <col min="15886" max="15886" width="13.7109375" style="248" bestFit="1" customWidth="1"/>
    <col min="15887" max="15887" width="14.7109375" style="248" bestFit="1" customWidth="1"/>
    <col min="15888" max="15888" width="15.7109375" style="248" bestFit="1" customWidth="1"/>
    <col min="15889" max="15889" width="9.140625" style="248"/>
    <col min="15890" max="15890" width="10.85546875" style="248" customWidth="1"/>
    <col min="15891" max="16130" width="9.140625" style="248"/>
    <col min="16131" max="16131" width="15.7109375" style="248" customWidth="1"/>
    <col min="16132" max="16132" width="12" style="248" customWidth="1"/>
    <col min="16133" max="16133" width="12.85546875" style="248" customWidth="1"/>
    <col min="16134" max="16136" width="10.28515625" style="248" customWidth="1"/>
    <col min="16137" max="16137" width="11.42578125" style="248" customWidth="1"/>
    <col min="16138" max="16138" width="11.28515625" style="248" customWidth="1"/>
    <col min="16139" max="16139" width="13.28515625" style="248" customWidth="1"/>
    <col min="16140" max="16140" width="12" style="248" customWidth="1"/>
    <col min="16141" max="16141" width="13.5703125" style="248" customWidth="1"/>
    <col min="16142" max="16142" width="13.7109375" style="248" bestFit="1" customWidth="1"/>
    <col min="16143" max="16143" width="14.7109375" style="248" bestFit="1" customWidth="1"/>
    <col min="16144" max="16144" width="15.7109375" style="248" bestFit="1" customWidth="1"/>
    <col min="16145" max="16145" width="9.140625" style="248"/>
    <col min="16146" max="16146" width="10.85546875" style="248" customWidth="1"/>
    <col min="16147" max="16384" width="9.140625" style="248"/>
  </cols>
  <sheetData>
    <row r="1" spans="1:18">
      <c r="A1" s="680" t="s">
        <v>127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</row>
    <row r="2" spans="1:18">
      <c r="A2" s="681" t="s">
        <v>673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</row>
    <row r="3" spans="1:18">
      <c r="A3" s="379" t="s">
        <v>325</v>
      </c>
      <c r="B3" s="379"/>
      <c r="C3" s="379"/>
      <c r="D3" s="663" t="s">
        <v>22</v>
      </c>
      <c r="E3" s="663"/>
      <c r="F3" s="663"/>
      <c r="G3" s="682" t="s">
        <v>326</v>
      </c>
      <c r="H3" s="683"/>
      <c r="I3" s="684"/>
      <c r="J3" s="684"/>
      <c r="K3" s="663">
        <v>10</v>
      </c>
      <c r="L3" s="663"/>
      <c r="M3" s="685" t="s">
        <v>128</v>
      </c>
      <c r="N3" s="686"/>
      <c r="O3" s="253">
        <v>5323.5069999999996</v>
      </c>
      <c r="P3" s="668" t="s">
        <v>115</v>
      </c>
      <c r="Q3" s="669"/>
      <c r="R3" s="253" t="s">
        <v>327</v>
      </c>
    </row>
    <row r="4" spans="1:18">
      <c r="A4" s="462" t="s">
        <v>585</v>
      </c>
      <c r="G4" s="11"/>
      <c r="H4" s="11"/>
      <c r="I4" s="11"/>
      <c r="J4" s="11"/>
    </row>
    <row r="5" spans="1:18">
      <c r="A5" s="248" t="s">
        <v>328</v>
      </c>
      <c r="D5" s="663" t="s">
        <v>329</v>
      </c>
      <c r="E5" s="663"/>
      <c r="F5" s="663"/>
      <c r="G5" s="11" t="s">
        <v>330</v>
      </c>
      <c r="H5" s="11"/>
      <c r="I5" s="11"/>
      <c r="J5" s="11"/>
      <c r="K5" s="663" t="s">
        <v>331</v>
      </c>
      <c r="L5" s="663"/>
      <c r="M5" s="663"/>
    </row>
    <row r="6" spans="1:18">
      <c r="G6" s="11"/>
      <c r="H6" s="11"/>
      <c r="I6" s="11"/>
      <c r="J6" s="11"/>
      <c r="N6" s="55"/>
    </row>
    <row r="7" spans="1:18">
      <c r="A7" s="27" t="s">
        <v>332</v>
      </c>
      <c r="B7" s="27"/>
      <c r="D7" s="670" t="s">
        <v>333</v>
      </c>
      <c r="E7" s="671"/>
      <c r="F7" s="672"/>
      <c r="G7" s="11"/>
      <c r="H7" s="11"/>
      <c r="I7" s="11"/>
      <c r="J7" s="11"/>
      <c r="K7" s="663" t="s">
        <v>334</v>
      </c>
      <c r="L7" s="663"/>
      <c r="M7" s="663"/>
    </row>
    <row r="8" spans="1:18">
      <c r="D8" s="673"/>
      <c r="E8" s="674"/>
      <c r="F8" s="675"/>
      <c r="K8" s="663"/>
      <c r="L8" s="663"/>
      <c r="M8" s="663"/>
    </row>
    <row r="9" spans="1:18">
      <c r="D9" s="676"/>
      <c r="E9" s="677"/>
      <c r="F9" s="678"/>
      <c r="K9" s="663"/>
      <c r="L9" s="663"/>
      <c r="M9" s="663"/>
    </row>
    <row r="10" spans="1:18">
      <c r="A10" s="11"/>
      <c r="D10" s="679"/>
      <c r="E10" s="679"/>
      <c r="F10" s="679"/>
      <c r="G10" s="664"/>
      <c r="H10" s="368"/>
    </row>
    <row r="11" spans="1:18">
      <c r="A11" s="28" t="s">
        <v>335</v>
      </c>
      <c r="D11" s="253">
        <v>35</v>
      </c>
      <c r="E11" s="109" t="s">
        <v>336</v>
      </c>
      <c r="F11" s="379"/>
      <c r="G11" s="379"/>
      <c r="H11" s="379"/>
      <c r="I11" s="253">
        <v>33</v>
      </c>
      <c r="J11" s="248" t="s">
        <v>129</v>
      </c>
      <c r="K11" s="253">
        <v>116</v>
      </c>
      <c r="L11" s="248" t="s">
        <v>130</v>
      </c>
      <c r="M11" s="253">
        <v>13</v>
      </c>
      <c r="N11" s="248" t="s">
        <v>95</v>
      </c>
      <c r="O11" s="253">
        <v>88</v>
      </c>
    </row>
    <row r="13" spans="1:18">
      <c r="A13" s="664" t="s">
        <v>39</v>
      </c>
      <c r="B13" s="664"/>
      <c r="D13" s="248" t="s">
        <v>40</v>
      </c>
      <c r="E13" s="378">
        <v>1262</v>
      </c>
      <c r="F13" s="248" t="s">
        <v>41</v>
      </c>
      <c r="G13" s="253">
        <v>17</v>
      </c>
      <c r="H13" s="258"/>
      <c r="I13" s="248" t="s">
        <v>42</v>
      </c>
      <c r="J13" s="253">
        <v>5</v>
      </c>
      <c r="K13" s="248" t="s">
        <v>64</v>
      </c>
      <c r="L13" s="253">
        <v>1284</v>
      </c>
    </row>
    <row r="14" spans="1:18">
      <c r="A14" s="248" t="s">
        <v>132</v>
      </c>
      <c r="D14" s="248" t="s">
        <v>133</v>
      </c>
      <c r="E14" s="253">
        <v>3140</v>
      </c>
      <c r="F14" s="248" t="s">
        <v>47</v>
      </c>
      <c r="G14" s="253">
        <v>42</v>
      </c>
      <c r="H14" s="258"/>
      <c r="I14" s="248" t="s">
        <v>48</v>
      </c>
      <c r="J14" s="253">
        <v>13</v>
      </c>
      <c r="K14" s="248" t="s">
        <v>77</v>
      </c>
      <c r="L14" s="253">
        <v>3195</v>
      </c>
    </row>
    <row r="15" spans="1:18">
      <c r="D15" s="248" t="s">
        <v>49</v>
      </c>
      <c r="E15" s="253">
        <v>3231</v>
      </c>
      <c r="F15" s="248" t="s">
        <v>50</v>
      </c>
      <c r="G15" s="253">
        <v>38</v>
      </c>
      <c r="H15" s="258"/>
      <c r="I15" s="248" t="s">
        <v>51</v>
      </c>
      <c r="J15" s="253">
        <v>12</v>
      </c>
      <c r="K15" s="248" t="s">
        <v>76</v>
      </c>
      <c r="L15" s="253">
        <v>3281</v>
      </c>
      <c r="M15" s="248" t="s">
        <v>43</v>
      </c>
      <c r="N15" s="253"/>
    </row>
    <row r="16" spans="1:18">
      <c r="A16" s="665" t="s">
        <v>52</v>
      </c>
      <c r="B16" s="665"/>
      <c r="G16" s="248">
        <f>+F20-G20</f>
        <v>0</v>
      </c>
      <c r="N16" s="253"/>
      <c r="O16" s="28" t="s">
        <v>131</v>
      </c>
      <c r="P16" s="28"/>
      <c r="Q16" s="253">
        <v>359</v>
      </c>
    </row>
    <row r="17" spans="1:16">
      <c r="A17" s="666" t="s">
        <v>53</v>
      </c>
      <c r="B17" s="666"/>
      <c r="C17" s="666"/>
      <c r="D17" s="667" t="s">
        <v>134</v>
      </c>
      <c r="E17" s="663" t="s">
        <v>55</v>
      </c>
      <c r="F17" s="661" t="s">
        <v>135</v>
      </c>
      <c r="G17" s="661" t="s">
        <v>136</v>
      </c>
      <c r="H17" s="587" t="s">
        <v>137</v>
      </c>
      <c r="I17" s="662"/>
      <c r="J17" s="662"/>
      <c r="K17" s="662"/>
      <c r="L17" s="662"/>
      <c r="M17" s="662"/>
      <c r="N17" s="588"/>
      <c r="O17" s="369"/>
      <c r="P17" s="369"/>
    </row>
    <row r="18" spans="1:16">
      <c r="A18" s="666"/>
      <c r="B18" s="666"/>
      <c r="C18" s="666"/>
      <c r="D18" s="667"/>
      <c r="E18" s="663"/>
      <c r="F18" s="661"/>
      <c r="G18" s="661"/>
      <c r="H18" s="110" t="s">
        <v>146</v>
      </c>
      <c r="I18" s="52" t="s">
        <v>58</v>
      </c>
      <c r="J18" s="52" t="s">
        <v>59</v>
      </c>
      <c r="K18" s="52" t="s">
        <v>60</v>
      </c>
      <c r="L18" s="52" t="s">
        <v>61</v>
      </c>
      <c r="M18" s="52" t="s">
        <v>62</v>
      </c>
      <c r="N18" s="52" t="s">
        <v>63</v>
      </c>
      <c r="O18" s="52" t="s">
        <v>64</v>
      </c>
      <c r="P18" s="253" t="s">
        <v>138</v>
      </c>
    </row>
    <row r="19" spans="1:16">
      <c r="A19" s="657" t="s">
        <v>337</v>
      </c>
      <c r="B19" s="657"/>
      <c r="C19" s="657"/>
      <c r="D19" s="12">
        <v>500</v>
      </c>
      <c r="E19" s="253" t="s">
        <v>319</v>
      </c>
      <c r="F19" s="21">
        <f>ROUND((+D19*O3),0)/100000</f>
        <v>26.617540000000002</v>
      </c>
      <c r="G19" s="21">
        <f>25.237</f>
        <v>25.236999999999998</v>
      </c>
      <c r="H19" s="21"/>
      <c r="I19" s="21">
        <f>435125/100000</f>
        <v>4.3512500000000003</v>
      </c>
      <c r="J19" s="21">
        <f>4.729</f>
        <v>4.7290000000000001</v>
      </c>
      <c r="K19" s="21">
        <f>686326/100000</f>
        <v>6.8632600000000004</v>
      </c>
      <c r="L19" s="21">
        <f>494226/100000</f>
        <v>4.9422600000000001</v>
      </c>
      <c r="M19" s="21">
        <f>252806/100000</f>
        <v>2.52806</v>
      </c>
      <c r="N19" s="21">
        <f>147171/100000</f>
        <v>1.4717100000000001</v>
      </c>
      <c r="O19" s="22">
        <f>SUM(I19:N19)</f>
        <v>24.885540000000002</v>
      </c>
      <c r="P19" s="21">
        <f>O19/G19%</f>
        <v>98.607362206284435</v>
      </c>
    </row>
    <row r="20" spans="1:16">
      <c r="A20" s="657" t="s">
        <v>338</v>
      </c>
      <c r="B20" s="657"/>
      <c r="C20" s="657"/>
      <c r="D20" s="12">
        <v>360</v>
      </c>
      <c r="E20" s="253" t="s">
        <v>319</v>
      </c>
      <c r="F20" s="21">
        <f>ROUND((+D20*O3),0)/100000</f>
        <v>19.164629999999999</v>
      </c>
      <c r="G20" s="21">
        <f>1916463/100000</f>
        <v>19.164629999999999</v>
      </c>
      <c r="H20" s="21"/>
      <c r="I20" s="21">
        <v>0</v>
      </c>
      <c r="J20" s="21">
        <v>0</v>
      </c>
      <c r="K20" s="21">
        <f>120307/100000</f>
        <v>1.2030700000000001</v>
      </c>
      <c r="L20" s="21">
        <f>893479/100000</f>
        <v>8.9347899999999996</v>
      </c>
      <c r="M20" s="21">
        <f>560466/100000</f>
        <v>5.60466</v>
      </c>
      <c r="N20" s="21">
        <f>169905/100000</f>
        <v>1.6990499999999999</v>
      </c>
      <c r="O20" s="22">
        <f t="shared" ref="O20:O26" si="0">SUM(I20:N20)</f>
        <v>17.441569999999999</v>
      </c>
      <c r="P20" s="21">
        <f t="shared" ref="P20:P27" si="1">O20/G20%</f>
        <v>91.009166365330302</v>
      </c>
    </row>
    <row r="21" spans="1:16">
      <c r="A21" s="657" t="s">
        <v>321</v>
      </c>
      <c r="B21" s="657"/>
      <c r="C21" s="657"/>
      <c r="D21" s="12">
        <v>8.4</v>
      </c>
      <c r="E21" s="253" t="s">
        <v>242</v>
      </c>
      <c r="F21" s="21">
        <f>19.09+4.5</f>
        <v>23.59</v>
      </c>
      <c r="G21" s="21">
        <v>19.09</v>
      </c>
      <c r="H21" s="21">
        <v>0.57199999999999995</v>
      </c>
      <c r="I21" s="21">
        <v>1.728</v>
      </c>
      <c r="J21" s="21">
        <v>2.2149999999999999</v>
      </c>
      <c r="K21" s="21">
        <v>3.55</v>
      </c>
      <c r="L21" s="21">
        <v>3.54</v>
      </c>
      <c r="M21" s="21">
        <f>350000/100000</f>
        <v>3.5</v>
      </c>
      <c r="N21" s="21">
        <f>312500/100000-0.241</f>
        <v>2.8839999999999999</v>
      </c>
      <c r="O21" s="21">
        <f t="shared" si="0"/>
        <v>17.416999999999998</v>
      </c>
      <c r="P21" s="21">
        <f t="shared" si="1"/>
        <v>91.236249345206915</v>
      </c>
    </row>
    <row r="22" spans="1:16">
      <c r="A22" s="657" t="s">
        <v>339</v>
      </c>
      <c r="B22" s="657"/>
      <c r="C22" s="657"/>
      <c r="D22" s="12">
        <v>0.84</v>
      </c>
      <c r="E22" s="253" t="s">
        <v>242</v>
      </c>
      <c r="F22" s="21">
        <f>6.593+0.36</f>
        <v>6.9530000000000003</v>
      </c>
      <c r="G22" s="21">
        <v>6.593</v>
      </c>
      <c r="H22" s="21">
        <v>6.9000000000000006E-2</v>
      </c>
      <c r="I22" s="21">
        <f>0.24741+0.261</f>
        <v>0.50841000000000003</v>
      </c>
      <c r="J22" s="21">
        <f>0.225+0.348</f>
        <v>0.57299999999999995</v>
      </c>
      <c r="K22" s="21">
        <f>1.4243-0.276</f>
        <v>1.1482999999999999</v>
      </c>
      <c r="L22" s="21">
        <f>0.8875+0.532</f>
        <v>1.4195</v>
      </c>
      <c r="M22" s="21">
        <f>87500/100000+0.525</f>
        <v>1.4</v>
      </c>
      <c r="N22" s="21">
        <v>0.65125</v>
      </c>
      <c r="O22" s="21">
        <f t="shared" si="0"/>
        <v>5.7004600000000005</v>
      </c>
      <c r="P22" s="21">
        <f t="shared" si="1"/>
        <v>86.462308509024723</v>
      </c>
    </row>
    <row r="23" spans="1:16">
      <c r="A23" s="657" t="s">
        <v>340</v>
      </c>
      <c r="B23" s="657"/>
      <c r="C23" s="657"/>
      <c r="D23" s="12">
        <v>3.6</v>
      </c>
      <c r="E23" s="253" t="s">
        <v>242</v>
      </c>
      <c r="F23" s="21">
        <f>12+2.7</f>
        <v>14.7</v>
      </c>
      <c r="G23" s="21">
        <v>12</v>
      </c>
      <c r="H23" s="21">
        <f>0.681-0.5</f>
        <v>0.18100000000000005</v>
      </c>
      <c r="I23" s="21">
        <v>0.28499999999999998</v>
      </c>
      <c r="J23" s="21">
        <f>2.34+0.494</f>
        <v>2.8339999999999996</v>
      </c>
      <c r="K23" s="21">
        <v>2.4</v>
      </c>
      <c r="L23" s="21">
        <v>2.38</v>
      </c>
      <c r="M23" s="21">
        <f>232000/100000</f>
        <v>2.3199999999999998</v>
      </c>
      <c r="N23" s="21">
        <v>2.4</v>
      </c>
      <c r="O23" s="21">
        <f t="shared" si="0"/>
        <v>12.619</v>
      </c>
      <c r="P23" s="21">
        <f t="shared" si="1"/>
        <v>105.15833333333333</v>
      </c>
    </row>
    <row r="24" spans="1:16">
      <c r="A24" s="657" t="s">
        <v>341</v>
      </c>
      <c r="B24" s="657"/>
      <c r="C24" s="657"/>
      <c r="D24" s="12">
        <v>0.24</v>
      </c>
      <c r="E24" s="253" t="s">
        <v>242</v>
      </c>
      <c r="F24" s="21">
        <f>0.98+0.18</f>
        <v>1.1599999999999999</v>
      </c>
      <c r="G24" s="21">
        <v>0.98</v>
      </c>
      <c r="H24" s="21">
        <v>0</v>
      </c>
      <c r="I24" s="21">
        <v>0</v>
      </c>
      <c r="J24" s="21">
        <v>0.02</v>
      </c>
      <c r="K24" s="21">
        <v>0.24</v>
      </c>
      <c r="L24" s="21">
        <v>0.24</v>
      </c>
      <c r="M24" s="21">
        <f>24000/100000</f>
        <v>0.24</v>
      </c>
      <c r="N24" s="21">
        <v>0.22</v>
      </c>
      <c r="O24" s="21">
        <f t="shared" si="0"/>
        <v>0.96</v>
      </c>
      <c r="P24" s="21">
        <f t="shared" si="1"/>
        <v>97.959183673469383</v>
      </c>
    </row>
    <row r="25" spans="1:16">
      <c r="A25" s="657" t="s">
        <v>324</v>
      </c>
      <c r="B25" s="657"/>
      <c r="C25" s="657"/>
      <c r="D25" s="12">
        <v>0.24</v>
      </c>
      <c r="E25" s="253" t="s">
        <v>242</v>
      </c>
      <c r="F25" s="111">
        <f>1.47+0.27</f>
        <v>1.74</v>
      </c>
      <c r="G25" s="111">
        <v>1.47</v>
      </c>
      <c r="H25" s="21">
        <v>0.17799999999999999</v>
      </c>
      <c r="I25" s="111">
        <v>0.15706999999999999</v>
      </c>
      <c r="J25" s="111">
        <v>0.21515999999999999</v>
      </c>
      <c r="K25" s="111">
        <v>0.33703</v>
      </c>
      <c r="L25" s="111">
        <v>0.34676000000000001</v>
      </c>
      <c r="M25" s="111">
        <f>31089/100000</f>
        <v>0.31089</v>
      </c>
      <c r="N25" s="111">
        <v>0.35920000000000002</v>
      </c>
      <c r="O25" s="21">
        <f t="shared" si="0"/>
        <v>1.7261099999999998</v>
      </c>
      <c r="P25" s="21">
        <f t="shared" si="1"/>
        <v>117.42244897959183</v>
      </c>
    </row>
    <row r="26" spans="1:16">
      <c r="A26" s="657" t="s">
        <v>71</v>
      </c>
      <c r="B26" s="657"/>
      <c r="C26" s="657"/>
      <c r="D26" s="253">
        <v>0.2</v>
      </c>
      <c r="E26" s="253" t="s">
        <v>68</v>
      </c>
      <c r="F26" s="21">
        <v>0.2</v>
      </c>
      <c r="G26" s="21">
        <v>0.2</v>
      </c>
      <c r="H26" s="21"/>
      <c r="I26" s="21">
        <v>0</v>
      </c>
      <c r="J26" s="21">
        <v>0</v>
      </c>
      <c r="K26" s="21">
        <v>0</v>
      </c>
      <c r="L26" s="21">
        <v>0.2</v>
      </c>
      <c r="M26" s="21">
        <v>0</v>
      </c>
      <c r="N26" s="21">
        <v>0</v>
      </c>
      <c r="O26" s="21">
        <f t="shared" si="0"/>
        <v>0.2</v>
      </c>
      <c r="P26" s="21">
        <f t="shared" si="1"/>
        <v>100</v>
      </c>
    </row>
    <row r="27" spans="1:16">
      <c r="A27" s="658" t="s">
        <v>64</v>
      </c>
      <c r="B27" s="659"/>
      <c r="C27" s="660"/>
      <c r="D27" s="20"/>
      <c r="E27" s="20"/>
      <c r="F27" s="23">
        <f t="shared" ref="F27:N27" si="2">SUM(F19:F26)</f>
        <v>94.125169999999997</v>
      </c>
      <c r="G27" s="23">
        <f>SUM(G19:G26)</f>
        <v>84.73463000000001</v>
      </c>
      <c r="H27" s="23">
        <f>SUM(H19:H26)</f>
        <v>1</v>
      </c>
      <c r="I27" s="23">
        <f t="shared" si="2"/>
        <v>7.0297299999999998</v>
      </c>
      <c r="J27" s="23">
        <f t="shared" si="2"/>
        <v>10.586159999999998</v>
      </c>
      <c r="K27" s="23">
        <f t="shared" si="2"/>
        <v>15.741660000000001</v>
      </c>
      <c r="L27" s="23">
        <f t="shared" si="2"/>
        <v>22.003309999999995</v>
      </c>
      <c r="M27" s="23">
        <f t="shared" si="2"/>
        <v>15.90361</v>
      </c>
      <c r="N27" s="23">
        <f t="shared" si="2"/>
        <v>9.6852099999999997</v>
      </c>
      <c r="O27" s="23">
        <f>SUM(O19:O26)</f>
        <v>80.949680000000015</v>
      </c>
      <c r="P27" s="21">
        <f t="shared" si="1"/>
        <v>95.533172210700641</v>
      </c>
    </row>
  </sheetData>
  <mergeCells count="30">
    <mergeCell ref="D10:E10"/>
    <mergeCell ref="F10:G10"/>
    <mergeCell ref="A1:M1"/>
    <mergeCell ref="A2:N2"/>
    <mergeCell ref="D3:F3"/>
    <mergeCell ref="G3:J3"/>
    <mergeCell ref="K3:L3"/>
    <mergeCell ref="M3:N3"/>
    <mergeCell ref="P3:Q3"/>
    <mergeCell ref="D5:F5"/>
    <mergeCell ref="K5:M5"/>
    <mergeCell ref="D7:F9"/>
    <mergeCell ref="K7:M9"/>
    <mergeCell ref="A22:C22"/>
    <mergeCell ref="A13:B13"/>
    <mergeCell ref="A16:B16"/>
    <mergeCell ref="A17:C18"/>
    <mergeCell ref="D17:D18"/>
    <mergeCell ref="G17:G18"/>
    <mergeCell ref="H17:N17"/>
    <mergeCell ref="A19:C19"/>
    <mergeCell ref="A20:C20"/>
    <mergeCell ref="A21:C21"/>
    <mergeCell ref="E17:E18"/>
    <mergeCell ref="F17:F18"/>
    <mergeCell ref="A23:C23"/>
    <mergeCell ref="A24:C24"/>
    <mergeCell ref="A25:C25"/>
    <mergeCell ref="A26:C26"/>
    <mergeCell ref="A27:C27"/>
  </mergeCells>
  <hyperlinks>
    <hyperlink ref="A4" location="'Fact Sheet of VDC'!A1" display="&lt;&lt;Back"/>
  </hyperlinks>
  <pageMargins left="0.7" right="0.7" top="0.75" bottom="0.75" header="0.3" footer="0.3"/>
  <pageSetup scale="5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N33"/>
  <sheetViews>
    <sheetView workbookViewId="0">
      <selection activeCell="A4" sqref="A4"/>
    </sheetView>
  </sheetViews>
  <sheetFormatPr defaultRowHeight="15"/>
  <cols>
    <col min="1" max="1" width="39.140625" style="93" customWidth="1"/>
    <col min="2" max="2" width="32.42578125" style="93" customWidth="1"/>
    <col min="3" max="3" width="48.140625" style="93" customWidth="1"/>
    <col min="4" max="4" width="17.42578125" style="93" customWidth="1"/>
    <col min="5" max="5" width="12.42578125" style="93" customWidth="1"/>
    <col min="6" max="6" width="14.7109375" style="93" customWidth="1"/>
    <col min="7" max="7" width="10.85546875" style="93" customWidth="1"/>
    <col min="8" max="8" width="11.140625" style="93" customWidth="1"/>
    <col min="9" max="9" width="10" style="93" customWidth="1"/>
    <col min="10" max="10" width="10.28515625" style="93" customWidth="1"/>
    <col min="11" max="11" width="11.28515625" style="93" customWidth="1"/>
    <col min="12" max="12" width="11.140625" style="93" customWidth="1"/>
    <col min="13" max="13" width="12" style="93" customWidth="1"/>
    <col min="14" max="14" width="12.140625" style="9" customWidth="1"/>
    <col min="15" max="256" width="9.140625" style="93"/>
    <col min="257" max="257" width="39.140625" style="93" customWidth="1"/>
    <col min="258" max="258" width="32.42578125" style="93" customWidth="1"/>
    <col min="259" max="259" width="48.140625" style="93" customWidth="1"/>
    <col min="260" max="260" width="17.42578125" style="93" customWidth="1"/>
    <col min="261" max="261" width="12.42578125" style="93" customWidth="1"/>
    <col min="262" max="262" width="14.7109375" style="93" customWidth="1"/>
    <col min="263" max="263" width="10.85546875" style="93" customWidth="1"/>
    <col min="264" max="264" width="11.140625" style="93" customWidth="1"/>
    <col min="265" max="265" width="10" style="93" customWidth="1"/>
    <col min="266" max="266" width="10.28515625" style="93" customWidth="1"/>
    <col min="267" max="267" width="11.28515625" style="93" customWidth="1"/>
    <col min="268" max="268" width="11.140625" style="93" customWidth="1"/>
    <col min="269" max="269" width="12" style="93" customWidth="1"/>
    <col min="270" max="270" width="12.140625" style="93" customWidth="1"/>
    <col min="271" max="512" width="9.140625" style="93"/>
    <col min="513" max="513" width="39.140625" style="93" customWidth="1"/>
    <col min="514" max="514" width="32.42578125" style="93" customWidth="1"/>
    <col min="515" max="515" width="48.140625" style="93" customWidth="1"/>
    <col min="516" max="516" width="17.42578125" style="93" customWidth="1"/>
    <col min="517" max="517" width="12.42578125" style="93" customWidth="1"/>
    <col min="518" max="518" width="14.7109375" style="93" customWidth="1"/>
    <col min="519" max="519" width="10.85546875" style="93" customWidth="1"/>
    <col min="520" max="520" width="11.140625" style="93" customWidth="1"/>
    <col min="521" max="521" width="10" style="93" customWidth="1"/>
    <col min="522" max="522" width="10.28515625" style="93" customWidth="1"/>
    <col min="523" max="523" width="11.28515625" style="93" customWidth="1"/>
    <col min="524" max="524" width="11.140625" style="93" customWidth="1"/>
    <col min="525" max="525" width="12" style="93" customWidth="1"/>
    <col min="526" max="526" width="12.140625" style="93" customWidth="1"/>
    <col min="527" max="768" width="9.140625" style="93"/>
    <col min="769" max="769" width="39.140625" style="93" customWidth="1"/>
    <col min="770" max="770" width="32.42578125" style="93" customWidth="1"/>
    <col min="771" max="771" width="48.140625" style="93" customWidth="1"/>
    <col min="772" max="772" width="17.42578125" style="93" customWidth="1"/>
    <col min="773" max="773" width="12.42578125" style="93" customWidth="1"/>
    <col min="774" max="774" width="14.7109375" style="93" customWidth="1"/>
    <col min="775" max="775" width="10.85546875" style="93" customWidth="1"/>
    <col min="776" max="776" width="11.140625" style="93" customWidth="1"/>
    <col min="777" max="777" width="10" style="93" customWidth="1"/>
    <col min="778" max="778" width="10.28515625" style="93" customWidth="1"/>
    <col min="779" max="779" width="11.28515625" style="93" customWidth="1"/>
    <col min="780" max="780" width="11.140625" style="93" customWidth="1"/>
    <col min="781" max="781" width="12" style="93" customWidth="1"/>
    <col min="782" max="782" width="12.140625" style="93" customWidth="1"/>
    <col min="783" max="1024" width="9.140625" style="93"/>
    <col min="1025" max="1025" width="39.140625" style="93" customWidth="1"/>
    <col min="1026" max="1026" width="32.42578125" style="93" customWidth="1"/>
    <col min="1027" max="1027" width="48.140625" style="93" customWidth="1"/>
    <col min="1028" max="1028" width="17.42578125" style="93" customWidth="1"/>
    <col min="1029" max="1029" width="12.42578125" style="93" customWidth="1"/>
    <col min="1030" max="1030" width="14.7109375" style="93" customWidth="1"/>
    <col min="1031" max="1031" width="10.85546875" style="93" customWidth="1"/>
    <col min="1032" max="1032" width="11.140625" style="93" customWidth="1"/>
    <col min="1033" max="1033" width="10" style="93" customWidth="1"/>
    <col min="1034" max="1034" width="10.28515625" style="93" customWidth="1"/>
    <col min="1035" max="1035" width="11.28515625" style="93" customWidth="1"/>
    <col min="1036" max="1036" width="11.140625" style="93" customWidth="1"/>
    <col min="1037" max="1037" width="12" style="93" customWidth="1"/>
    <col min="1038" max="1038" width="12.140625" style="93" customWidth="1"/>
    <col min="1039" max="1280" width="9.140625" style="93"/>
    <col min="1281" max="1281" width="39.140625" style="93" customWidth="1"/>
    <col min="1282" max="1282" width="32.42578125" style="93" customWidth="1"/>
    <col min="1283" max="1283" width="48.140625" style="93" customWidth="1"/>
    <col min="1284" max="1284" width="17.42578125" style="93" customWidth="1"/>
    <col min="1285" max="1285" width="12.42578125" style="93" customWidth="1"/>
    <col min="1286" max="1286" width="14.7109375" style="93" customWidth="1"/>
    <col min="1287" max="1287" width="10.85546875" style="93" customWidth="1"/>
    <col min="1288" max="1288" width="11.140625" style="93" customWidth="1"/>
    <col min="1289" max="1289" width="10" style="93" customWidth="1"/>
    <col min="1290" max="1290" width="10.28515625" style="93" customWidth="1"/>
    <col min="1291" max="1291" width="11.28515625" style="93" customWidth="1"/>
    <col min="1292" max="1292" width="11.140625" style="93" customWidth="1"/>
    <col min="1293" max="1293" width="12" style="93" customWidth="1"/>
    <col min="1294" max="1294" width="12.140625" style="93" customWidth="1"/>
    <col min="1295" max="1536" width="9.140625" style="93"/>
    <col min="1537" max="1537" width="39.140625" style="93" customWidth="1"/>
    <col min="1538" max="1538" width="32.42578125" style="93" customWidth="1"/>
    <col min="1539" max="1539" width="48.140625" style="93" customWidth="1"/>
    <col min="1540" max="1540" width="17.42578125" style="93" customWidth="1"/>
    <col min="1541" max="1541" width="12.42578125" style="93" customWidth="1"/>
    <col min="1542" max="1542" width="14.7109375" style="93" customWidth="1"/>
    <col min="1543" max="1543" width="10.85546875" style="93" customWidth="1"/>
    <col min="1544" max="1544" width="11.140625" style="93" customWidth="1"/>
    <col min="1545" max="1545" width="10" style="93" customWidth="1"/>
    <col min="1546" max="1546" width="10.28515625" style="93" customWidth="1"/>
    <col min="1547" max="1547" width="11.28515625" style="93" customWidth="1"/>
    <col min="1548" max="1548" width="11.140625" style="93" customWidth="1"/>
    <col min="1549" max="1549" width="12" style="93" customWidth="1"/>
    <col min="1550" max="1550" width="12.140625" style="93" customWidth="1"/>
    <col min="1551" max="1792" width="9.140625" style="93"/>
    <col min="1793" max="1793" width="39.140625" style="93" customWidth="1"/>
    <col min="1794" max="1794" width="32.42578125" style="93" customWidth="1"/>
    <col min="1795" max="1795" width="48.140625" style="93" customWidth="1"/>
    <col min="1796" max="1796" width="17.42578125" style="93" customWidth="1"/>
    <col min="1797" max="1797" width="12.42578125" style="93" customWidth="1"/>
    <col min="1798" max="1798" width="14.7109375" style="93" customWidth="1"/>
    <col min="1799" max="1799" width="10.85546875" style="93" customWidth="1"/>
    <col min="1800" max="1800" width="11.140625" style="93" customWidth="1"/>
    <col min="1801" max="1801" width="10" style="93" customWidth="1"/>
    <col min="1802" max="1802" width="10.28515625" style="93" customWidth="1"/>
    <col min="1803" max="1803" width="11.28515625" style="93" customWidth="1"/>
    <col min="1804" max="1804" width="11.140625" style="93" customWidth="1"/>
    <col min="1805" max="1805" width="12" style="93" customWidth="1"/>
    <col min="1806" max="1806" width="12.140625" style="93" customWidth="1"/>
    <col min="1807" max="2048" width="9.140625" style="93"/>
    <col min="2049" max="2049" width="39.140625" style="93" customWidth="1"/>
    <col min="2050" max="2050" width="32.42578125" style="93" customWidth="1"/>
    <col min="2051" max="2051" width="48.140625" style="93" customWidth="1"/>
    <col min="2052" max="2052" width="17.42578125" style="93" customWidth="1"/>
    <col min="2053" max="2053" width="12.42578125" style="93" customWidth="1"/>
    <col min="2054" max="2054" width="14.7109375" style="93" customWidth="1"/>
    <col min="2055" max="2055" width="10.85546875" style="93" customWidth="1"/>
    <col min="2056" max="2056" width="11.140625" style="93" customWidth="1"/>
    <col min="2057" max="2057" width="10" style="93" customWidth="1"/>
    <col min="2058" max="2058" width="10.28515625" style="93" customWidth="1"/>
    <col min="2059" max="2059" width="11.28515625" style="93" customWidth="1"/>
    <col min="2060" max="2060" width="11.140625" style="93" customWidth="1"/>
    <col min="2061" max="2061" width="12" style="93" customWidth="1"/>
    <col min="2062" max="2062" width="12.140625" style="93" customWidth="1"/>
    <col min="2063" max="2304" width="9.140625" style="93"/>
    <col min="2305" max="2305" width="39.140625" style="93" customWidth="1"/>
    <col min="2306" max="2306" width="32.42578125" style="93" customWidth="1"/>
    <col min="2307" max="2307" width="48.140625" style="93" customWidth="1"/>
    <col min="2308" max="2308" width="17.42578125" style="93" customWidth="1"/>
    <col min="2309" max="2309" width="12.42578125" style="93" customWidth="1"/>
    <col min="2310" max="2310" width="14.7109375" style="93" customWidth="1"/>
    <col min="2311" max="2311" width="10.85546875" style="93" customWidth="1"/>
    <col min="2312" max="2312" width="11.140625" style="93" customWidth="1"/>
    <col min="2313" max="2313" width="10" style="93" customWidth="1"/>
    <col min="2314" max="2314" width="10.28515625" style="93" customWidth="1"/>
    <col min="2315" max="2315" width="11.28515625" style="93" customWidth="1"/>
    <col min="2316" max="2316" width="11.140625" style="93" customWidth="1"/>
    <col min="2317" max="2317" width="12" style="93" customWidth="1"/>
    <col min="2318" max="2318" width="12.140625" style="93" customWidth="1"/>
    <col min="2319" max="2560" width="9.140625" style="93"/>
    <col min="2561" max="2561" width="39.140625" style="93" customWidth="1"/>
    <col min="2562" max="2562" width="32.42578125" style="93" customWidth="1"/>
    <col min="2563" max="2563" width="48.140625" style="93" customWidth="1"/>
    <col min="2564" max="2564" width="17.42578125" style="93" customWidth="1"/>
    <col min="2565" max="2565" width="12.42578125" style="93" customWidth="1"/>
    <col min="2566" max="2566" width="14.7109375" style="93" customWidth="1"/>
    <col min="2567" max="2567" width="10.85546875" style="93" customWidth="1"/>
    <col min="2568" max="2568" width="11.140625" style="93" customWidth="1"/>
    <col min="2569" max="2569" width="10" style="93" customWidth="1"/>
    <col min="2570" max="2570" width="10.28515625" style="93" customWidth="1"/>
    <col min="2571" max="2571" width="11.28515625" style="93" customWidth="1"/>
    <col min="2572" max="2572" width="11.140625" style="93" customWidth="1"/>
    <col min="2573" max="2573" width="12" style="93" customWidth="1"/>
    <col min="2574" max="2574" width="12.140625" style="93" customWidth="1"/>
    <col min="2575" max="2816" width="9.140625" style="93"/>
    <col min="2817" max="2817" width="39.140625" style="93" customWidth="1"/>
    <col min="2818" max="2818" width="32.42578125" style="93" customWidth="1"/>
    <col min="2819" max="2819" width="48.140625" style="93" customWidth="1"/>
    <col min="2820" max="2820" width="17.42578125" style="93" customWidth="1"/>
    <col min="2821" max="2821" width="12.42578125" style="93" customWidth="1"/>
    <col min="2822" max="2822" width="14.7109375" style="93" customWidth="1"/>
    <col min="2823" max="2823" width="10.85546875" style="93" customWidth="1"/>
    <col min="2824" max="2824" width="11.140625" style="93" customWidth="1"/>
    <col min="2825" max="2825" width="10" style="93" customWidth="1"/>
    <col min="2826" max="2826" width="10.28515625" style="93" customWidth="1"/>
    <col min="2827" max="2827" width="11.28515625" style="93" customWidth="1"/>
    <col min="2828" max="2828" width="11.140625" style="93" customWidth="1"/>
    <col min="2829" max="2829" width="12" style="93" customWidth="1"/>
    <col min="2830" max="2830" width="12.140625" style="93" customWidth="1"/>
    <col min="2831" max="3072" width="9.140625" style="93"/>
    <col min="3073" max="3073" width="39.140625" style="93" customWidth="1"/>
    <col min="3074" max="3074" width="32.42578125" style="93" customWidth="1"/>
    <col min="3075" max="3075" width="48.140625" style="93" customWidth="1"/>
    <col min="3076" max="3076" width="17.42578125" style="93" customWidth="1"/>
    <col min="3077" max="3077" width="12.42578125" style="93" customWidth="1"/>
    <col min="3078" max="3078" width="14.7109375" style="93" customWidth="1"/>
    <col min="3079" max="3079" width="10.85546875" style="93" customWidth="1"/>
    <col min="3080" max="3080" width="11.140625" style="93" customWidth="1"/>
    <col min="3081" max="3081" width="10" style="93" customWidth="1"/>
    <col min="3082" max="3082" width="10.28515625" style="93" customWidth="1"/>
    <col min="3083" max="3083" width="11.28515625" style="93" customWidth="1"/>
    <col min="3084" max="3084" width="11.140625" style="93" customWidth="1"/>
    <col min="3085" max="3085" width="12" style="93" customWidth="1"/>
    <col min="3086" max="3086" width="12.140625" style="93" customWidth="1"/>
    <col min="3087" max="3328" width="9.140625" style="93"/>
    <col min="3329" max="3329" width="39.140625" style="93" customWidth="1"/>
    <col min="3330" max="3330" width="32.42578125" style="93" customWidth="1"/>
    <col min="3331" max="3331" width="48.140625" style="93" customWidth="1"/>
    <col min="3332" max="3332" width="17.42578125" style="93" customWidth="1"/>
    <col min="3333" max="3333" width="12.42578125" style="93" customWidth="1"/>
    <col min="3334" max="3334" width="14.7109375" style="93" customWidth="1"/>
    <col min="3335" max="3335" width="10.85546875" style="93" customWidth="1"/>
    <col min="3336" max="3336" width="11.140625" style="93" customWidth="1"/>
    <col min="3337" max="3337" width="10" style="93" customWidth="1"/>
    <col min="3338" max="3338" width="10.28515625" style="93" customWidth="1"/>
    <col min="3339" max="3339" width="11.28515625" style="93" customWidth="1"/>
    <col min="3340" max="3340" width="11.140625" style="93" customWidth="1"/>
    <col min="3341" max="3341" width="12" style="93" customWidth="1"/>
    <col min="3342" max="3342" width="12.140625" style="93" customWidth="1"/>
    <col min="3343" max="3584" width="9.140625" style="93"/>
    <col min="3585" max="3585" width="39.140625" style="93" customWidth="1"/>
    <col min="3586" max="3586" width="32.42578125" style="93" customWidth="1"/>
    <col min="3587" max="3587" width="48.140625" style="93" customWidth="1"/>
    <col min="3588" max="3588" width="17.42578125" style="93" customWidth="1"/>
    <col min="3589" max="3589" width="12.42578125" style="93" customWidth="1"/>
    <col min="3590" max="3590" width="14.7109375" style="93" customWidth="1"/>
    <col min="3591" max="3591" width="10.85546875" style="93" customWidth="1"/>
    <col min="3592" max="3592" width="11.140625" style="93" customWidth="1"/>
    <col min="3593" max="3593" width="10" style="93" customWidth="1"/>
    <col min="3594" max="3594" width="10.28515625" style="93" customWidth="1"/>
    <col min="3595" max="3595" width="11.28515625" style="93" customWidth="1"/>
    <col min="3596" max="3596" width="11.140625" style="93" customWidth="1"/>
    <col min="3597" max="3597" width="12" style="93" customWidth="1"/>
    <col min="3598" max="3598" width="12.140625" style="93" customWidth="1"/>
    <col min="3599" max="3840" width="9.140625" style="93"/>
    <col min="3841" max="3841" width="39.140625" style="93" customWidth="1"/>
    <col min="3842" max="3842" width="32.42578125" style="93" customWidth="1"/>
    <col min="3843" max="3843" width="48.140625" style="93" customWidth="1"/>
    <col min="3844" max="3844" width="17.42578125" style="93" customWidth="1"/>
    <col min="3845" max="3845" width="12.42578125" style="93" customWidth="1"/>
    <col min="3846" max="3846" width="14.7109375" style="93" customWidth="1"/>
    <col min="3847" max="3847" width="10.85546875" style="93" customWidth="1"/>
    <col min="3848" max="3848" width="11.140625" style="93" customWidth="1"/>
    <col min="3849" max="3849" width="10" style="93" customWidth="1"/>
    <col min="3850" max="3850" width="10.28515625" style="93" customWidth="1"/>
    <col min="3851" max="3851" width="11.28515625" style="93" customWidth="1"/>
    <col min="3852" max="3852" width="11.140625" style="93" customWidth="1"/>
    <col min="3853" max="3853" width="12" style="93" customWidth="1"/>
    <col min="3854" max="3854" width="12.140625" style="93" customWidth="1"/>
    <col min="3855" max="4096" width="9.140625" style="93"/>
    <col min="4097" max="4097" width="39.140625" style="93" customWidth="1"/>
    <col min="4098" max="4098" width="32.42578125" style="93" customWidth="1"/>
    <col min="4099" max="4099" width="48.140625" style="93" customWidth="1"/>
    <col min="4100" max="4100" width="17.42578125" style="93" customWidth="1"/>
    <col min="4101" max="4101" width="12.42578125" style="93" customWidth="1"/>
    <col min="4102" max="4102" width="14.7109375" style="93" customWidth="1"/>
    <col min="4103" max="4103" width="10.85546875" style="93" customWidth="1"/>
    <col min="4104" max="4104" width="11.140625" style="93" customWidth="1"/>
    <col min="4105" max="4105" width="10" style="93" customWidth="1"/>
    <col min="4106" max="4106" width="10.28515625" style="93" customWidth="1"/>
    <col min="4107" max="4107" width="11.28515625" style="93" customWidth="1"/>
    <col min="4108" max="4108" width="11.140625" style="93" customWidth="1"/>
    <col min="4109" max="4109" width="12" style="93" customWidth="1"/>
    <col min="4110" max="4110" width="12.140625" style="93" customWidth="1"/>
    <col min="4111" max="4352" width="9.140625" style="93"/>
    <col min="4353" max="4353" width="39.140625" style="93" customWidth="1"/>
    <col min="4354" max="4354" width="32.42578125" style="93" customWidth="1"/>
    <col min="4355" max="4355" width="48.140625" style="93" customWidth="1"/>
    <col min="4356" max="4356" width="17.42578125" style="93" customWidth="1"/>
    <col min="4357" max="4357" width="12.42578125" style="93" customWidth="1"/>
    <col min="4358" max="4358" width="14.7109375" style="93" customWidth="1"/>
    <col min="4359" max="4359" width="10.85546875" style="93" customWidth="1"/>
    <col min="4360" max="4360" width="11.140625" style="93" customWidth="1"/>
    <col min="4361" max="4361" width="10" style="93" customWidth="1"/>
    <col min="4362" max="4362" width="10.28515625" style="93" customWidth="1"/>
    <col min="4363" max="4363" width="11.28515625" style="93" customWidth="1"/>
    <col min="4364" max="4364" width="11.140625" style="93" customWidth="1"/>
    <col min="4365" max="4365" width="12" style="93" customWidth="1"/>
    <col min="4366" max="4366" width="12.140625" style="93" customWidth="1"/>
    <col min="4367" max="4608" width="9.140625" style="93"/>
    <col min="4609" max="4609" width="39.140625" style="93" customWidth="1"/>
    <col min="4610" max="4610" width="32.42578125" style="93" customWidth="1"/>
    <col min="4611" max="4611" width="48.140625" style="93" customWidth="1"/>
    <col min="4612" max="4612" width="17.42578125" style="93" customWidth="1"/>
    <col min="4613" max="4613" width="12.42578125" style="93" customWidth="1"/>
    <col min="4614" max="4614" width="14.7109375" style="93" customWidth="1"/>
    <col min="4615" max="4615" width="10.85546875" style="93" customWidth="1"/>
    <col min="4616" max="4616" width="11.140625" style="93" customWidth="1"/>
    <col min="4617" max="4617" width="10" style="93" customWidth="1"/>
    <col min="4618" max="4618" width="10.28515625" style="93" customWidth="1"/>
    <col min="4619" max="4619" width="11.28515625" style="93" customWidth="1"/>
    <col min="4620" max="4620" width="11.140625" style="93" customWidth="1"/>
    <col min="4621" max="4621" width="12" style="93" customWidth="1"/>
    <col min="4622" max="4622" width="12.140625" style="93" customWidth="1"/>
    <col min="4623" max="4864" width="9.140625" style="93"/>
    <col min="4865" max="4865" width="39.140625" style="93" customWidth="1"/>
    <col min="4866" max="4866" width="32.42578125" style="93" customWidth="1"/>
    <col min="4867" max="4867" width="48.140625" style="93" customWidth="1"/>
    <col min="4868" max="4868" width="17.42578125" style="93" customWidth="1"/>
    <col min="4869" max="4869" width="12.42578125" style="93" customWidth="1"/>
    <col min="4870" max="4870" width="14.7109375" style="93" customWidth="1"/>
    <col min="4871" max="4871" width="10.85546875" style="93" customWidth="1"/>
    <col min="4872" max="4872" width="11.140625" style="93" customWidth="1"/>
    <col min="4873" max="4873" width="10" style="93" customWidth="1"/>
    <col min="4874" max="4874" width="10.28515625" style="93" customWidth="1"/>
    <col min="4875" max="4875" width="11.28515625" style="93" customWidth="1"/>
    <col min="4876" max="4876" width="11.140625" style="93" customWidth="1"/>
    <col min="4877" max="4877" width="12" style="93" customWidth="1"/>
    <col min="4878" max="4878" width="12.140625" style="93" customWidth="1"/>
    <col min="4879" max="5120" width="9.140625" style="93"/>
    <col min="5121" max="5121" width="39.140625" style="93" customWidth="1"/>
    <col min="5122" max="5122" width="32.42578125" style="93" customWidth="1"/>
    <col min="5123" max="5123" width="48.140625" style="93" customWidth="1"/>
    <col min="5124" max="5124" width="17.42578125" style="93" customWidth="1"/>
    <col min="5125" max="5125" width="12.42578125" style="93" customWidth="1"/>
    <col min="5126" max="5126" width="14.7109375" style="93" customWidth="1"/>
    <col min="5127" max="5127" width="10.85546875" style="93" customWidth="1"/>
    <col min="5128" max="5128" width="11.140625" style="93" customWidth="1"/>
    <col min="5129" max="5129" width="10" style="93" customWidth="1"/>
    <col min="5130" max="5130" width="10.28515625" style="93" customWidth="1"/>
    <col min="5131" max="5131" width="11.28515625" style="93" customWidth="1"/>
    <col min="5132" max="5132" width="11.140625" style="93" customWidth="1"/>
    <col min="5133" max="5133" width="12" style="93" customWidth="1"/>
    <col min="5134" max="5134" width="12.140625" style="93" customWidth="1"/>
    <col min="5135" max="5376" width="9.140625" style="93"/>
    <col min="5377" max="5377" width="39.140625" style="93" customWidth="1"/>
    <col min="5378" max="5378" width="32.42578125" style="93" customWidth="1"/>
    <col min="5379" max="5379" width="48.140625" style="93" customWidth="1"/>
    <col min="5380" max="5380" width="17.42578125" style="93" customWidth="1"/>
    <col min="5381" max="5381" width="12.42578125" style="93" customWidth="1"/>
    <col min="5382" max="5382" width="14.7109375" style="93" customWidth="1"/>
    <col min="5383" max="5383" width="10.85546875" style="93" customWidth="1"/>
    <col min="5384" max="5384" width="11.140625" style="93" customWidth="1"/>
    <col min="5385" max="5385" width="10" style="93" customWidth="1"/>
    <col min="5386" max="5386" width="10.28515625" style="93" customWidth="1"/>
    <col min="5387" max="5387" width="11.28515625" style="93" customWidth="1"/>
    <col min="5388" max="5388" width="11.140625" style="93" customWidth="1"/>
    <col min="5389" max="5389" width="12" style="93" customWidth="1"/>
    <col min="5390" max="5390" width="12.140625" style="93" customWidth="1"/>
    <col min="5391" max="5632" width="9.140625" style="93"/>
    <col min="5633" max="5633" width="39.140625" style="93" customWidth="1"/>
    <col min="5634" max="5634" width="32.42578125" style="93" customWidth="1"/>
    <col min="5635" max="5635" width="48.140625" style="93" customWidth="1"/>
    <col min="5636" max="5636" width="17.42578125" style="93" customWidth="1"/>
    <col min="5637" max="5637" width="12.42578125" style="93" customWidth="1"/>
    <col min="5638" max="5638" width="14.7109375" style="93" customWidth="1"/>
    <col min="5639" max="5639" width="10.85546875" style="93" customWidth="1"/>
    <col min="5640" max="5640" width="11.140625" style="93" customWidth="1"/>
    <col min="5641" max="5641" width="10" style="93" customWidth="1"/>
    <col min="5642" max="5642" width="10.28515625" style="93" customWidth="1"/>
    <col min="5643" max="5643" width="11.28515625" style="93" customWidth="1"/>
    <col min="5644" max="5644" width="11.140625" style="93" customWidth="1"/>
    <col min="5645" max="5645" width="12" style="93" customWidth="1"/>
    <col min="5646" max="5646" width="12.140625" style="93" customWidth="1"/>
    <col min="5647" max="5888" width="9.140625" style="93"/>
    <col min="5889" max="5889" width="39.140625" style="93" customWidth="1"/>
    <col min="5890" max="5890" width="32.42578125" style="93" customWidth="1"/>
    <col min="5891" max="5891" width="48.140625" style="93" customWidth="1"/>
    <col min="5892" max="5892" width="17.42578125" style="93" customWidth="1"/>
    <col min="5893" max="5893" width="12.42578125" style="93" customWidth="1"/>
    <col min="5894" max="5894" width="14.7109375" style="93" customWidth="1"/>
    <col min="5895" max="5895" width="10.85546875" style="93" customWidth="1"/>
    <col min="5896" max="5896" width="11.140625" style="93" customWidth="1"/>
    <col min="5897" max="5897" width="10" style="93" customWidth="1"/>
    <col min="5898" max="5898" width="10.28515625" style="93" customWidth="1"/>
    <col min="5899" max="5899" width="11.28515625" style="93" customWidth="1"/>
    <col min="5900" max="5900" width="11.140625" style="93" customWidth="1"/>
    <col min="5901" max="5901" width="12" style="93" customWidth="1"/>
    <col min="5902" max="5902" width="12.140625" style="93" customWidth="1"/>
    <col min="5903" max="6144" width="9.140625" style="93"/>
    <col min="6145" max="6145" width="39.140625" style="93" customWidth="1"/>
    <col min="6146" max="6146" width="32.42578125" style="93" customWidth="1"/>
    <col min="6147" max="6147" width="48.140625" style="93" customWidth="1"/>
    <col min="6148" max="6148" width="17.42578125" style="93" customWidth="1"/>
    <col min="6149" max="6149" width="12.42578125" style="93" customWidth="1"/>
    <col min="6150" max="6150" width="14.7109375" style="93" customWidth="1"/>
    <col min="6151" max="6151" width="10.85546875" style="93" customWidth="1"/>
    <col min="6152" max="6152" width="11.140625" style="93" customWidth="1"/>
    <col min="6153" max="6153" width="10" style="93" customWidth="1"/>
    <col min="6154" max="6154" width="10.28515625" style="93" customWidth="1"/>
    <col min="6155" max="6155" width="11.28515625" style="93" customWidth="1"/>
    <col min="6156" max="6156" width="11.140625" style="93" customWidth="1"/>
    <col min="6157" max="6157" width="12" style="93" customWidth="1"/>
    <col min="6158" max="6158" width="12.140625" style="93" customWidth="1"/>
    <col min="6159" max="6400" width="9.140625" style="93"/>
    <col min="6401" max="6401" width="39.140625" style="93" customWidth="1"/>
    <col min="6402" max="6402" width="32.42578125" style="93" customWidth="1"/>
    <col min="6403" max="6403" width="48.140625" style="93" customWidth="1"/>
    <col min="6404" max="6404" width="17.42578125" style="93" customWidth="1"/>
    <col min="6405" max="6405" width="12.42578125" style="93" customWidth="1"/>
    <col min="6406" max="6406" width="14.7109375" style="93" customWidth="1"/>
    <col min="6407" max="6407" width="10.85546875" style="93" customWidth="1"/>
    <col min="6408" max="6408" width="11.140625" style="93" customWidth="1"/>
    <col min="6409" max="6409" width="10" style="93" customWidth="1"/>
    <col min="6410" max="6410" width="10.28515625" style="93" customWidth="1"/>
    <col min="6411" max="6411" width="11.28515625" style="93" customWidth="1"/>
    <col min="6412" max="6412" width="11.140625" style="93" customWidth="1"/>
    <col min="6413" max="6413" width="12" style="93" customWidth="1"/>
    <col min="6414" max="6414" width="12.140625" style="93" customWidth="1"/>
    <col min="6415" max="6656" width="9.140625" style="93"/>
    <col min="6657" max="6657" width="39.140625" style="93" customWidth="1"/>
    <col min="6658" max="6658" width="32.42578125" style="93" customWidth="1"/>
    <col min="6659" max="6659" width="48.140625" style="93" customWidth="1"/>
    <col min="6660" max="6660" width="17.42578125" style="93" customWidth="1"/>
    <col min="6661" max="6661" width="12.42578125" style="93" customWidth="1"/>
    <col min="6662" max="6662" width="14.7109375" style="93" customWidth="1"/>
    <col min="6663" max="6663" width="10.85546875" style="93" customWidth="1"/>
    <col min="6664" max="6664" width="11.140625" style="93" customWidth="1"/>
    <col min="6665" max="6665" width="10" style="93" customWidth="1"/>
    <col min="6666" max="6666" width="10.28515625" style="93" customWidth="1"/>
    <col min="6667" max="6667" width="11.28515625" style="93" customWidth="1"/>
    <col min="6668" max="6668" width="11.140625" style="93" customWidth="1"/>
    <col min="6669" max="6669" width="12" style="93" customWidth="1"/>
    <col min="6670" max="6670" width="12.140625" style="93" customWidth="1"/>
    <col min="6671" max="6912" width="9.140625" style="93"/>
    <col min="6913" max="6913" width="39.140625" style="93" customWidth="1"/>
    <col min="6914" max="6914" width="32.42578125" style="93" customWidth="1"/>
    <col min="6915" max="6915" width="48.140625" style="93" customWidth="1"/>
    <col min="6916" max="6916" width="17.42578125" style="93" customWidth="1"/>
    <col min="6917" max="6917" width="12.42578125" style="93" customWidth="1"/>
    <col min="6918" max="6918" width="14.7109375" style="93" customWidth="1"/>
    <col min="6919" max="6919" width="10.85546875" style="93" customWidth="1"/>
    <col min="6920" max="6920" width="11.140625" style="93" customWidth="1"/>
    <col min="6921" max="6921" width="10" style="93" customWidth="1"/>
    <col min="6922" max="6922" width="10.28515625" style="93" customWidth="1"/>
    <col min="6923" max="6923" width="11.28515625" style="93" customWidth="1"/>
    <col min="6924" max="6924" width="11.140625" style="93" customWidth="1"/>
    <col min="6925" max="6925" width="12" style="93" customWidth="1"/>
    <col min="6926" max="6926" width="12.140625" style="93" customWidth="1"/>
    <col min="6927" max="7168" width="9.140625" style="93"/>
    <col min="7169" max="7169" width="39.140625" style="93" customWidth="1"/>
    <col min="7170" max="7170" width="32.42578125" style="93" customWidth="1"/>
    <col min="7171" max="7171" width="48.140625" style="93" customWidth="1"/>
    <col min="7172" max="7172" width="17.42578125" style="93" customWidth="1"/>
    <col min="7173" max="7173" width="12.42578125" style="93" customWidth="1"/>
    <col min="7174" max="7174" width="14.7109375" style="93" customWidth="1"/>
    <col min="7175" max="7175" width="10.85546875" style="93" customWidth="1"/>
    <col min="7176" max="7176" width="11.140625" style="93" customWidth="1"/>
    <col min="7177" max="7177" width="10" style="93" customWidth="1"/>
    <col min="7178" max="7178" width="10.28515625" style="93" customWidth="1"/>
    <col min="7179" max="7179" width="11.28515625" style="93" customWidth="1"/>
    <col min="7180" max="7180" width="11.140625" style="93" customWidth="1"/>
    <col min="7181" max="7181" width="12" style="93" customWidth="1"/>
    <col min="7182" max="7182" width="12.140625" style="93" customWidth="1"/>
    <col min="7183" max="7424" width="9.140625" style="93"/>
    <col min="7425" max="7425" width="39.140625" style="93" customWidth="1"/>
    <col min="7426" max="7426" width="32.42578125" style="93" customWidth="1"/>
    <col min="7427" max="7427" width="48.140625" style="93" customWidth="1"/>
    <col min="7428" max="7428" width="17.42578125" style="93" customWidth="1"/>
    <col min="7429" max="7429" width="12.42578125" style="93" customWidth="1"/>
    <col min="7430" max="7430" width="14.7109375" style="93" customWidth="1"/>
    <col min="7431" max="7431" width="10.85546875" style="93" customWidth="1"/>
    <col min="7432" max="7432" width="11.140625" style="93" customWidth="1"/>
    <col min="7433" max="7433" width="10" style="93" customWidth="1"/>
    <col min="7434" max="7434" width="10.28515625" style="93" customWidth="1"/>
    <col min="7435" max="7435" width="11.28515625" style="93" customWidth="1"/>
    <col min="7436" max="7436" width="11.140625" style="93" customWidth="1"/>
    <col min="7437" max="7437" width="12" style="93" customWidth="1"/>
    <col min="7438" max="7438" width="12.140625" style="93" customWidth="1"/>
    <col min="7439" max="7680" width="9.140625" style="93"/>
    <col min="7681" max="7681" width="39.140625" style="93" customWidth="1"/>
    <col min="7682" max="7682" width="32.42578125" style="93" customWidth="1"/>
    <col min="7683" max="7683" width="48.140625" style="93" customWidth="1"/>
    <col min="7684" max="7684" width="17.42578125" style="93" customWidth="1"/>
    <col min="7685" max="7685" width="12.42578125" style="93" customWidth="1"/>
    <col min="7686" max="7686" width="14.7109375" style="93" customWidth="1"/>
    <col min="7687" max="7687" width="10.85546875" style="93" customWidth="1"/>
    <col min="7688" max="7688" width="11.140625" style="93" customWidth="1"/>
    <col min="7689" max="7689" width="10" style="93" customWidth="1"/>
    <col min="7690" max="7690" width="10.28515625" style="93" customWidth="1"/>
    <col min="7691" max="7691" width="11.28515625" style="93" customWidth="1"/>
    <col min="7692" max="7692" width="11.140625" style="93" customWidth="1"/>
    <col min="7693" max="7693" width="12" style="93" customWidth="1"/>
    <col min="7694" max="7694" width="12.140625" style="93" customWidth="1"/>
    <col min="7695" max="7936" width="9.140625" style="93"/>
    <col min="7937" max="7937" width="39.140625" style="93" customWidth="1"/>
    <col min="7938" max="7938" width="32.42578125" style="93" customWidth="1"/>
    <col min="7939" max="7939" width="48.140625" style="93" customWidth="1"/>
    <col min="7940" max="7940" width="17.42578125" style="93" customWidth="1"/>
    <col min="7941" max="7941" width="12.42578125" style="93" customWidth="1"/>
    <col min="7942" max="7942" width="14.7109375" style="93" customWidth="1"/>
    <col min="7943" max="7943" width="10.85546875" style="93" customWidth="1"/>
    <col min="7944" max="7944" width="11.140625" style="93" customWidth="1"/>
    <col min="7945" max="7945" width="10" style="93" customWidth="1"/>
    <col min="7946" max="7946" width="10.28515625" style="93" customWidth="1"/>
    <col min="7947" max="7947" width="11.28515625" style="93" customWidth="1"/>
    <col min="7948" max="7948" width="11.140625" style="93" customWidth="1"/>
    <col min="7949" max="7949" width="12" style="93" customWidth="1"/>
    <col min="7950" max="7950" width="12.140625" style="93" customWidth="1"/>
    <col min="7951" max="8192" width="9.140625" style="93"/>
    <col min="8193" max="8193" width="39.140625" style="93" customWidth="1"/>
    <col min="8194" max="8194" width="32.42578125" style="93" customWidth="1"/>
    <col min="8195" max="8195" width="48.140625" style="93" customWidth="1"/>
    <col min="8196" max="8196" width="17.42578125" style="93" customWidth="1"/>
    <col min="8197" max="8197" width="12.42578125" style="93" customWidth="1"/>
    <col min="8198" max="8198" width="14.7109375" style="93" customWidth="1"/>
    <col min="8199" max="8199" width="10.85546875" style="93" customWidth="1"/>
    <col min="8200" max="8200" width="11.140625" style="93" customWidth="1"/>
    <col min="8201" max="8201" width="10" style="93" customWidth="1"/>
    <col min="8202" max="8202" width="10.28515625" style="93" customWidth="1"/>
    <col min="8203" max="8203" width="11.28515625" style="93" customWidth="1"/>
    <col min="8204" max="8204" width="11.140625" style="93" customWidth="1"/>
    <col min="8205" max="8205" width="12" style="93" customWidth="1"/>
    <col min="8206" max="8206" width="12.140625" style="93" customWidth="1"/>
    <col min="8207" max="8448" width="9.140625" style="93"/>
    <col min="8449" max="8449" width="39.140625" style="93" customWidth="1"/>
    <col min="8450" max="8450" width="32.42578125" style="93" customWidth="1"/>
    <col min="8451" max="8451" width="48.140625" style="93" customWidth="1"/>
    <col min="8452" max="8452" width="17.42578125" style="93" customWidth="1"/>
    <col min="8453" max="8453" width="12.42578125" style="93" customWidth="1"/>
    <col min="8454" max="8454" width="14.7109375" style="93" customWidth="1"/>
    <col min="8455" max="8455" width="10.85546875" style="93" customWidth="1"/>
    <col min="8456" max="8456" width="11.140625" style="93" customWidth="1"/>
    <col min="8457" max="8457" width="10" style="93" customWidth="1"/>
    <col min="8458" max="8458" width="10.28515625" style="93" customWidth="1"/>
    <col min="8459" max="8459" width="11.28515625" style="93" customWidth="1"/>
    <col min="8460" max="8460" width="11.140625" style="93" customWidth="1"/>
    <col min="8461" max="8461" width="12" style="93" customWidth="1"/>
    <col min="8462" max="8462" width="12.140625" style="93" customWidth="1"/>
    <col min="8463" max="8704" width="9.140625" style="93"/>
    <col min="8705" max="8705" width="39.140625" style="93" customWidth="1"/>
    <col min="8706" max="8706" width="32.42578125" style="93" customWidth="1"/>
    <col min="8707" max="8707" width="48.140625" style="93" customWidth="1"/>
    <col min="8708" max="8708" width="17.42578125" style="93" customWidth="1"/>
    <col min="8709" max="8709" width="12.42578125" style="93" customWidth="1"/>
    <col min="8710" max="8710" width="14.7109375" style="93" customWidth="1"/>
    <col min="8711" max="8711" width="10.85546875" style="93" customWidth="1"/>
    <col min="8712" max="8712" width="11.140625" style="93" customWidth="1"/>
    <col min="8713" max="8713" width="10" style="93" customWidth="1"/>
    <col min="8714" max="8714" width="10.28515625" style="93" customWidth="1"/>
    <col min="8715" max="8715" width="11.28515625" style="93" customWidth="1"/>
    <col min="8716" max="8716" width="11.140625" style="93" customWidth="1"/>
    <col min="8717" max="8717" width="12" style="93" customWidth="1"/>
    <col min="8718" max="8718" width="12.140625" style="93" customWidth="1"/>
    <col min="8719" max="8960" width="9.140625" style="93"/>
    <col min="8961" max="8961" width="39.140625" style="93" customWidth="1"/>
    <col min="8962" max="8962" width="32.42578125" style="93" customWidth="1"/>
    <col min="8963" max="8963" width="48.140625" style="93" customWidth="1"/>
    <col min="8964" max="8964" width="17.42578125" style="93" customWidth="1"/>
    <col min="8965" max="8965" width="12.42578125" style="93" customWidth="1"/>
    <col min="8966" max="8966" width="14.7109375" style="93" customWidth="1"/>
    <col min="8967" max="8967" width="10.85546875" style="93" customWidth="1"/>
    <col min="8968" max="8968" width="11.140625" style="93" customWidth="1"/>
    <col min="8969" max="8969" width="10" style="93" customWidth="1"/>
    <col min="8970" max="8970" width="10.28515625" style="93" customWidth="1"/>
    <col min="8971" max="8971" width="11.28515625" style="93" customWidth="1"/>
    <col min="8972" max="8972" width="11.140625" style="93" customWidth="1"/>
    <col min="8973" max="8973" width="12" style="93" customWidth="1"/>
    <col min="8974" max="8974" width="12.140625" style="93" customWidth="1"/>
    <col min="8975" max="9216" width="9.140625" style="93"/>
    <col min="9217" max="9217" width="39.140625" style="93" customWidth="1"/>
    <col min="9218" max="9218" width="32.42578125" style="93" customWidth="1"/>
    <col min="9219" max="9219" width="48.140625" style="93" customWidth="1"/>
    <col min="9220" max="9220" width="17.42578125" style="93" customWidth="1"/>
    <col min="9221" max="9221" width="12.42578125" style="93" customWidth="1"/>
    <col min="9222" max="9222" width="14.7109375" style="93" customWidth="1"/>
    <col min="9223" max="9223" width="10.85546875" style="93" customWidth="1"/>
    <col min="9224" max="9224" width="11.140625" style="93" customWidth="1"/>
    <col min="9225" max="9225" width="10" style="93" customWidth="1"/>
    <col min="9226" max="9226" width="10.28515625" style="93" customWidth="1"/>
    <col min="9227" max="9227" width="11.28515625" style="93" customWidth="1"/>
    <col min="9228" max="9228" width="11.140625" style="93" customWidth="1"/>
    <col min="9229" max="9229" width="12" style="93" customWidth="1"/>
    <col min="9230" max="9230" width="12.140625" style="93" customWidth="1"/>
    <col min="9231" max="9472" width="9.140625" style="93"/>
    <col min="9473" max="9473" width="39.140625" style="93" customWidth="1"/>
    <col min="9474" max="9474" width="32.42578125" style="93" customWidth="1"/>
    <col min="9475" max="9475" width="48.140625" style="93" customWidth="1"/>
    <col min="9476" max="9476" width="17.42578125" style="93" customWidth="1"/>
    <col min="9477" max="9477" width="12.42578125" style="93" customWidth="1"/>
    <col min="9478" max="9478" width="14.7109375" style="93" customWidth="1"/>
    <col min="9479" max="9479" width="10.85546875" style="93" customWidth="1"/>
    <col min="9480" max="9480" width="11.140625" style="93" customWidth="1"/>
    <col min="9481" max="9481" width="10" style="93" customWidth="1"/>
    <col min="9482" max="9482" width="10.28515625" style="93" customWidth="1"/>
    <col min="9483" max="9483" width="11.28515625" style="93" customWidth="1"/>
    <col min="9484" max="9484" width="11.140625" style="93" customWidth="1"/>
    <col min="9485" max="9485" width="12" style="93" customWidth="1"/>
    <col min="9486" max="9486" width="12.140625" style="93" customWidth="1"/>
    <col min="9487" max="9728" width="9.140625" style="93"/>
    <col min="9729" max="9729" width="39.140625" style="93" customWidth="1"/>
    <col min="9730" max="9730" width="32.42578125" style="93" customWidth="1"/>
    <col min="9731" max="9731" width="48.140625" style="93" customWidth="1"/>
    <col min="9732" max="9732" width="17.42578125" style="93" customWidth="1"/>
    <col min="9733" max="9733" width="12.42578125" style="93" customWidth="1"/>
    <col min="9734" max="9734" width="14.7109375" style="93" customWidth="1"/>
    <col min="9735" max="9735" width="10.85546875" style="93" customWidth="1"/>
    <col min="9736" max="9736" width="11.140625" style="93" customWidth="1"/>
    <col min="9737" max="9737" width="10" style="93" customWidth="1"/>
    <col min="9738" max="9738" width="10.28515625" style="93" customWidth="1"/>
    <col min="9739" max="9739" width="11.28515625" style="93" customWidth="1"/>
    <col min="9740" max="9740" width="11.140625" style="93" customWidth="1"/>
    <col min="9741" max="9741" width="12" style="93" customWidth="1"/>
    <col min="9742" max="9742" width="12.140625" style="93" customWidth="1"/>
    <col min="9743" max="9984" width="9.140625" style="93"/>
    <col min="9985" max="9985" width="39.140625" style="93" customWidth="1"/>
    <col min="9986" max="9986" width="32.42578125" style="93" customWidth="1"/>
    <col min="9987" max="9987" width="48.140625" style="93" customWidth="1"/>
    <col min="9988" max="9988" width="17.42578125" style="93" customWidth="1"/>
    <col min="9989" max="9989" width="12.42578125" style="93" customWidth="1"/>
    <col min="9990" max="9990" width="14.7109375" style="93" customWidth="1"/>
    <col min="9991" max="9991" width="10.85546875" style="93" customWidth="1"/>
    <col min="9992" max="9992" width="11.140625" style="93" customWidth="1"/>
    <col min="9993" max="9993" width="10" style="93" customWidth="1"/>
    <col min="9994" max="9994" width="10.28515625" style="93" customWidth="1"/>
    <col min="9995" max="9995" width="11.28515625" style="93" customWidth="1"/>
    <col min="9996" max="9996" width="11.140625" style="93" customWidth="1"/>
    <col min="9997" max="9997" width="12" style="93" customWidth="1"/>
    <col min="9998" max="9998" width="12.140625" style="93" customWidth="1"/>
    <col min="9999" max="10240" width="9.140625" style="93"/>
    <col min="10241" max="10241" width="39.140625" style="93" customWidth="1"/>
    <col min="10242" max="10242" width="32.42578125" style="93" customWidth="1"/>
    <col min="10243" max="10243" width="48.140625" style="93" customWidth="1"/>
    <col min="10244" max="10244" width="17.42578125" style="93" customWidth="1"/>
    <col min="10245" max="10245" width="12.42578125" style="93" customWidth="1"/>
    <col min="10246" max="10246" width="14.7109375" style="93" customWidth="1"/>
    <col min="10247" max="10247" width="10.85546875" style="93" customWidth="1"/>
    <col min="10248" max="10248" width="11.140625" style="93" customWidth="1"/>
    <col min="10249" max="10249" width="10" style="93" customWidth="1"/>
    <col min="10250" max="10250" width="10.28515625" style="93" customWidth="1"/>
    <col min="10251" max="10251" width="11.28515625" style="93" customWidth="1"/>
    <col min="10252" max="10252" width="11.140625" style="93" customWidth="1"/>
    <col min="10253" max="10253" width="12" style="93" customWidth="1"/>
    <col min="10254" max="10254" width="12.140625" style="93" customWidth="1"/>
    <col min="10255" max="10496" width="9.140625" style="93"/>
    <col min="10497" max="10497" width="39.140625" style="93" customWidth="1"/>
    <col min="10498" max="10498" width="32.42578125" style="93" customWidth="1"/>
    <col min="10499" max="10499" width="48.140625" style="93" customWidth="1"/>
    <col min="10500" max="10500" width="17.42578125" style="93" customWidth="1"/>
    <col min="10501" max="10501" width="12.42578125" style="93" customWidth="1"/>
    <col min="10502" max="10502" width="14.7109375" style="93" customWidth="1"/>
    <col min="10503" max="10503" width="10.85546875" style="93" customWidth="1"/>
    <col min="10504" max="10504" width="11.140625" style="93" customWidth="1"/>
    <col min="10505" max="10505" width="10" style="93" customWidth="1"/>
    <col min="10506" max="10506" width="10.28515625" style="93" customWidth="1"/>
    <col min="10507" max="10507" width="11.28515625" style="93" customWidth="1"/>
    <col min="10508" max="10508" width="11.140625" style="93" customWidth="1"/>
    <col min="10509" max="10509" width="12" style="93" customWidth="1"/>
    <col min="10510" max="10510" width="12.140625" style="93" customWidth="1"/>
    <col min="10511" max="10752" width="9.140625" style="93"/>
    <col min="10753" max="10753" width="39.140625" style="93" customWidth="1"/>
    <col min="10754" max="10754" width="32.42578125" style="93" customWidth="1"/>
    <col min="10755" max="10755" width="48.140625" style="93" customWidth="1"/>
    <col min="10756" max="10756" width="17.42578125" style="93" customWidth="1"/>
    <col min="10757" max="10757" width="12.42578125" style="93" customWidth="1"/>
    <col min="10758" max="10758" width="14.7109375" style="93" customWidth="1"/>
    <col min="10759" max="10759" width="10.85546875" style="93" customWidth="1"/>
    <col min="10760" max="10760" width="11.140625" style="93" customWidth="1"/>
    <col min="10761" max="10761" width="10" style="93" customWidth="1"/>
    <col min="10762" max="10762" width="10.28515625" style="93" customWidth="1"/>
    <col min="10763" max="10763" width="11.28515625" style="93" customWidth="1"/>
    <col min="10764" max="10764" width="11.140625" style="93" customWidth="1"/>
    <col min="10765" max="10765" width="12" style="93" customWidth="1"/>
    <col min="10766" max="10766" width="12.140625" style="93" customWidth="1"/>
    <col min="10767" max="11008" width="9.140625" style="93"/>
    <col min="11009" max="11009" width="39.140625" style="93" customWidth="1"/>
    <col min="11010" max="11010" width="32.42578125" style="93" customWidth="1"/>
    <col min="11011" max="11011" width="48.140625" style="93" customWidth="1"/>
    <col min="11012" max="11012" width="17.42578125" style="93" customWidth="1"/>
    <col min="11013" max="11013" width="12.42578125" style="93" customWidth="1"/>
    <col min="11014" max="11014" width="14.7109375" style="93" customWidth="1"/>
    <col min="11015" max="11015" width="10.85546875" style="93" customWidth="1"/>
    <col min="11016" max="11016" width="11.140625" style="93" customWidth="1"/>
    <col min="11017" max="11017" width="10" style="93" customWidth="1"/>
    <col min="11018" max="11018" width="10.28515625" style="93" customWidth="1"/>
    <col min="11019" max="11019" width="11.28515625" style="93" customWidth="1"/>
    <col min="11020" max="11020" width="11.140625" style="93" customWidth="1"/>
    <col min="11021" max="11021" width="12" style="93" customWidth="1"/>
    <col min="11022" max="11022" width="12.140625" style="93" customWidth="1"/>
    <col min="11023" max="11264" width="9.140625" style="93"/>
    <col min="11265" max="11265" width="39.140625" style="93" customWidth="1"/>
    <col min="11266" max="11266" width="32.42578125" style="93" customWidth="1"/>
    <col min="11267" max="11267" width="48.140625" style="93" customWidth="1"/>
    <col min="11268" max="11268" width="17.42578125" style="93" customWidth="1"/>
    <col min="11269" max="11269" width="12.42578125" style="93" customWidth="1"/>
    <col min="11270" max="11270" width="14.7109375" style="93" customWidth="1"/>
    <col min="11271" max="11271" width="10.85546875" style="93" customWidth="1"/>
    <col min="11272" max="11272" width="11.140625" style="93" customWidth="1"/>
    <col min="11273" max="11273" width="10" style="93" customWidth="1"/>
    <col min="11274" max="11274" width="10.28515625" style="93" customWidth="1"/>
    <col min="11275" max="11275" width="11.28515625" style="93" customWidth="1"/>
    <col min="11276" max="11276" width="11.140625" style="93" customWidth="1"/>
    <col min="11277" max="11277" width="12" style="93" customWidth="1"/>
    <col min="11278" max="11278" width="12.140625" style="93" customWidth="1"/>
    <col min="11279" max="11520" width="9.140625" style="93"/>
    <col min="11521" max="11521" width="39.140625" style="93" customWidth="1"/>
    <col min="11522" max="11522" width="32.42578125" style="93" customWidth="1"/>
    <col min="11523" max="11523" width="48.140625" style="93" customWidth="1"/>
    <col min="11524" max="11524" width="17.42578125" style="93" customWidth="1"/>
    <col min="11525" max="11525" width="12.42578125" style="93" customWidth="1"/>
    <col min="11526" max="11526" width="14.7109375" style="93" customWidth="1"/>
    <col min="11527" max="11527" width="10.85546875" style="93" customWidth="1"/>
    <col min="11528" max="11528" width="11.140625" style="93" customWidth="1"/>
    <col min="11529" max="11529" width="10" style="93" customWidth="1"/>
    <col min="11530" max="11530" width="10.28515625" style="93" customWidth="1"/>
    <col min="11531" max="11531" width="11.28515625" style="93" customWidth="1"/>
    <col min="11532" max="11532" width="11.140625" style="93" customWidth="1"/>
    <col min="11533" max="11533" width="12" style="93" customWidth="1"/>
    <col min="11534" max="11534" width="12.140625" style="93" customWidth="1"/>
    <col min="11535" max="11776" width="9.140625" style="93"/>
    <col min="11777" max="11777" width="39.140625" style="93" customWidth="1"/>
    <col min="11778" max="11778" width="32.42578125" style="93" customWidth="1"/>
    <col min="11779" max="11779" width="48.140625" style="93" customWidth="1"/>
    <col min="11780" max="11780" width="17.42578125" style="93" customWidth="1"/>
    <col min="11781" max="11781" width="12.42578125" style="93" customWidth="1"/>
    <col min="11782" max="11782" width="14.7109375" style="93" customWidth="1"/>
    <col min="11783" max="11783" width="10.85546875" style="93" customWidth="1"/>
    <col min="11784" max="11784" width="11.140625" style="93" customWidth="1"/>
    <col min="11785" max="11785" width="10" style="93" customWidth="1"/>
    <col min="11786" max="11786" width="10.28515625" style="93" customWidth="1"/>
    <col min="11787" max="11787" width="11.28515625" style="93" customWidth="1"/>
    <col min="11788" max="11788" width="11.140625" style="93" customWidth="1"/>
    <col min="11789" max="11789" width="12" style="93" customWidth="1"/>
    <col min="11790" max="11790" width="12.140625" style="93" customWidth="1"/>
    <col min="11791" max="12032" width="9.140625" style="93"/>
    <col min="12033" max="12033" width="39.140625" style="93" customWidth="1"/>
    <col min="12034" max="12034" width="32.42578125" style="93" customWidth="1"/>
    <col min="12035" max="12035" width="48.140625" style="93" customWidth="1"/>
    <col min="12036" max="12036" width="17.42578125" style="93" customWidth="1"/>
    <col min="12037" max="12037" width="12.42578125" style="93" customWidth="1"/>
    <col min="12038" max="12038" width="14.7109375" style="93" customWidth="1"/>
    <col min="12039" max="12039" width="10.85546875" style="93" customWidth="1"/>
    <col min="12040" max="12040" width="11.140625" style="93" customWidth="1"/>
    <col min="12041" max="12041" width="10" style="93" customWidth="1"/>
    <col min="12042" max="12042" width="10.28515625" style="93" customWidth="1"/>
    <col min="12043" max="12043" width="11.28515625" style="93" customWidth="1"/>
    <col min="12044" max="12044" width="11.140625" style="93" customWidth="1"/>
    <col min="12045" max="12045" width="12" style="93" customWidth="1"/>
    <col min="12046" max="12046" width="12.140625" style="93" customWidth="1"/>
    <col min="12047" max="12288" width="9.140625" style="93"/>
    <col min="12289" max="12289" width="39.140625" style="93" customWidth="1"/>
    <col min="12290" max="12290" width="32.42578125" style="93" customWidth="1"/>
    <col min="12291" max="12291" width="48.140625" style="93" customWidth="1"/>
    <col min="12292" max="12292" width="17.42578125" style="93" customWidth="1"/>
    <col min="12293" max="12293" width="12.42578125" style="93" customWidth="1"/>
    <col min="12294" max="12294" width="14.7109375" style="93" customWidth="1"/>
    <col min="12295" max="12295" width="10.85546875" style="93" customWidth="1"/>
    <col min="12296" max="12296" width="11.140625" style="93" customWidth="1"/>
    <col min="12297" max="12297" width="10" style="93" customWidth="1"/>
    <col min="12298" max="12298" width="10.28515625" style="93" customWidth="1"/>
    <col min="12299" max="12299" width="11.28515625" style="93" customWidth="1"/>
    <col min="12300" max="12300" width="11.140625" style="93" customWidth="1"/>
    <col min="12301" max="12301" width="12" style="93" customWidth="1"/>
    <col min="12302" max="12302" width="12.140625" style="93" customWidth="1"/>
    <col min="12303" max="12544" width="9.140625" style="93"/>
    <col min="12545" max="12545" width="39.140625" style="93" customWidth="1"/>
    <col min="12546" max="12546" width="32.42578125" style="93" customWidth="1"/>
    <col min="12547" max="12547" width="48.140625" style="93" customWidth="1"/>
    <col min="12548" max="12548" width="17.42578125" style="93" customWidth="1"/>
    <col min="12549" max="12549" width="12.42578125" style="93" customWidth="1"/>
    <col min="12550" max="12550" width="14.7109375" style="93" customWidth="1"/>
    <col min="12551" max="12551" width="10.85546875" style="93" customWidth="1"/>
    <col min="12552" max="12552" width="11.140625" style="93" customWidth="1"/>
    <col min="12553" max="12553" width="10" style="93" customWidth="1"/>
    <col min="12554" max="12554" width="10.28515625" style="93" customWidth="1"/>
    <col min="12555" max="12555" width="11.28515625" style="93" customWidth="1"/>
    <col min="12556" max="12556" width="11.140625" style="93" customWidth="1"/>
    <col min="12557" max="12557" width="12" style="93" customWidth="1"/>
    <col min="12558" max="12558" width="12.140625" style="93" customWidth="1"/>
    <col min="12559" max="12800" width="9.140625" style="93"/>
    <col min="12801" max="12801" width="39.140625" style="93" customWidth="1"/>
    <col min="12802" max="12802" width="32.42578125" style="93" customWidth="1"/>
    <col min="12803" max="12803" width="48.140625" style="93" customWidth="1"/>
    <col min="12804" max="12804" width="17.42578125" style="93" customWidth="1"/>
    <col min="12805" max="12805" width="12.42578125" style="93" customWidth="1"/>
    <col min="12806" max="12806" width="14.7109375" style="93" customWidth="1"/>
    <col min="12807" max="12807" width="10.85546875" style="93" customWidth="1"/>
    <col min="12808" max="12808" width="11.140625" style="93" customWidth="1"/>
    <col min="12809" max="12809" width="10" style="93" customWidth="1"/>
    <col min="12810" max="12810" width="10.28515625" style="93" customWidth="1"/>
    <col min="12811" max="12811" width="11.28515625" style="93" customWidth="1"/>
    <col min="12812" max="12812" width="11.140625" style="93" customWidth="1"/>
    <col min="12813" max="12813" width="12" style="93" customWidth="1"/>
    <col min="12814" max="12814" width="12.140625" style="93" customWidth="1"/>
    <col min="12815" max="13056" width="9.140625" style="93"/>
    <col min="13057" max="13057" width="39.140625" style="93" customWidth="1"/>
    <col min="13058" max="13058" width="32.42578125" style="93" customWidth="1"/>
    <col min="13059" max="13059" width="48.140625" style="93" customWidth="1"/>
    <col min="13060" max="13060" width="17.42578125" style="93" customWidth="1"/>
    <col min="13061" max="13061" width="12.42578125" style="93" customWidth="1"/>
    <col min="13062" max="13062" width="14.7109375" style="93" customWidth="1"/>
    <col min="13063" max="13063" width="10.85546875" style="93" customWidth="1"/>
    <col min="13064" max="13064" width="11.140625" style="93" customWidth="1"/>
    <col min="13065" max="13065" width="10" style="93" customWidth="1"/>
    <col min="13066" max="13066" width="10.28515625" style="93" customWidth="1"/>
    <col min="13067" max="13067" width="11.28515625" style="93" customWidth="1"/>
    <col min="13068" max="13068" width="11.140625" style="93" customWidth="1"/>
    <col min="13069" max="13069" width="12" style="93" customWidth="1"/>
    <col min="13070" max="13070" width="12.140625" style="93" customWidth="1"/>
    <col min="13071" max="13312" width="9.140625" style="93"/>
    <col min="13313" max="13313" width="39.140625" style="93" customWidth="1"/>
    <col min="13314" max="13314" width="32.42578125" style="93" customWidth="1"/>
    <col min="13315" max="13315" width="48.140625" style="93" customWidth="1"/>
    <col min="13316" max="13316" width="17.42578125" style="93" customWidth="1"/>
    <col min="13317" max="13317" width="12.42578125" style="93" customWidth="1"/>
    <col min="13318" max="13318" width="14.7109375" style="93" customWidth="1"/>
    <col min="13319" max="13319" width="10.85546875" style="93" customWidth="1"/>
    <col min="13320" max="13320" width="11.140625" style="93" customWidth="1"/>
    <col min="13321" max="13321" width="10" style="93" customWidth="1"/>
    <col min="13322" max="13322" width="10.28515625" style="93" customWidth="1"/>
    <col min="13323" max="13323" width="11.28515625" style="93" customWidth="1"/>
    <col min="13324" max="13324" width="11.140625" style="93" customWidth="1"/>
    <col min="13325" max="13325" width="12" style="93" customWidth="1"/>
    <col min="13326" max="13326" width="12.140625" style="93" customWidth="1"/>
    <col min="13327" max="13568" width="9.140625" style="93"/>
    <col min="13569" max="13569" width="39.140625" style="93" customWidth="1"/>
    <col min="13570" max="13570" width="32.42578125" style="93" customWidth="1"/>
    <col min="13571" max="13571" width="48.140625" style="93" customWidth="1"/>
    <col min="13572" max="13572" width="17.42578125" style="93" customWidth="1"/>
    <col min="13573" max="13573" width="12.42578125" style="93" customWidth="1"/>
    <col min="13574" max="13574" width="14.7109375" style="93" customWidth="1"/>
    <col min="13575" max="13575" width="10.85546875" style="93" customWidth="1"/>
    <col min="13576" max="13576" width="11.140625" style="93" customWidth="1"/>
    <col min="13577" max="13577" width="10" style="93" customWidth="1"/>
    <col min="13578" max="13578" width="10.28515625" style="93" customWidth="1"/>
    <col min="13579" max="13579" width="11.28515625" style="93" customWidth="1"/>
    <col min="13580" max="13580" width="11.140625" style="93" customWidth="1"/>
    <col min="13581" max="13581" width="12" style="93" customWidth="1"/>
    <col min="13582" max="13582" width="12.140625" style="93" customWidth="1"/>
    <col min="13583" max="13824" width="9.140625" style="93"/>
    <col min="13825" max="13825" width="39.140625" style="93" customWidth="1"/>
    <col min="13826" max="13826" width="32.42578125" style="93" customWidth="1"/>
    <col min="13827" max="13827" width="48.140625" style="93" customWidth="1"/>
    <col min="13828" max="13828" width="17.42578125" style="93" customWidth="1"/>
    <col min="13829" max="13829" width="12.42578125" style="93" customWidth="1"/>
    <col min="13830" max="13830" width="14.7109375" style="93" customWidth="1"/>
    <col min="13831" max="13831" width="10.85546875" style="93" customWidth="1"/>
    <col min="13832" max="13832" width="11.140625" style="93" customWidth="1"/>
    <col min="13833" max="13833" width="10" style="93" customWidth="1"/>
    <col min="13834" max="13834" width="10.28515625" style="93" customWidth="1"/>
    <col min="13835" max="13835" width="11.28515625" style="93" customWidth="1"/>
    <col min="13836" max="13836" width="11.140625" style="93" customWidth="1"/>
    <col min="13837" max="13837" width="12" style="93" customWidth="1"/>
    <col min="13838" max="13838" width="12.140625" style="93" customWidth="1"/>
    <col min="13839" max="14080" width="9.140625" style="93"/>
    <col min="14081" max="14081" width="39.140625" style="93" customWidth="1"/>
    <col min="14082" max="14082" width="32.42578125" style="93" customWidth="1"/>
    <col min="14083" max="14083" width="48.140625" style="93" customWidth="1"/>
    <col min="14084" max="14084" width="17.42578125" style="93" customWidth="1"/>
    <col min="14085" max="14085" width="12.42578125" style="93" customWidth="1"/>
    <col min="14086" max="14086" width="14.7109375" style="93" customWidth="1"/>
    <col min="14087" max="14087" width="10.85546875" style="93" customWidth="1"/>
    <col min="14088" max="14088" width="11.140625" style="93" customWidth="1"/>
    <col min="14089" max="14089" width="10" style="93" customWidth="1"/>
    <col min="14090" max="14090" width="10.28515625" style="93" customWidth="1"/>
    <col min="14091" max="14091" width="11.28515625" style="93" customWidth="1"/>
    <col min="14092" max="14092" width="11.140625" style="93" customWidth="1"/>
    <col min="14093" max="14093" width="12" style="93" customWidth="1"/>
    <col min="14094" max="14094" width="12.140625" style="93" customWidth="1"/>
    <col min="14095" max="14336" width="9.140625" style="93"/>
    <col min="14337" max="14337" width="39.140625" style="93" customWidth="1"/>
    <col min="14338" max="14338" width="32.42578125" style="93" customWidth="1"/>
    <col min="14339" max="14339" width="48.140625" style="93" customWidth="1"/>
    <col min="14340" max="14340" width="17.42578125" style="93" customWidth="1"/>
    <col min="14341" max="14341" width="12.42578125" style="93" customWidth="1"/>
    <col min="14342" max="14342" width="14.7109375" style="93" customWidth="1"/>
    <col min="14343" max="14343" width="10.85546875" style="93" customWidth="1"/>
    <col min="14344" max="14344" width="11.140625" style="93" customWidth="1"/>
    <col min="14345" max="14345" width="10" style="93" customWidth="1"/>
    <col min="14346" max="14346" width="10.28515625" style="93" customWidth="1"/>
    <col min="14347" max="14347" width="11.28515625" style="93" customWidth="1"/>
    <col min="14348" max="14348" width="11.140625" style="93" customWidth="1"/>
    <col min="14349" max="14349" width="12" style="93" customWidth="1"/>
    <col min="14350" max="14350" width="12.140625" style="93" customWidth="1"/>
    <col min="14351" max="14592" width="9.140625" style="93"/>
    <col min="14593" max="14593" width="39.140625" style="93" customWidth="1"/>
    <col min="14594" max="14594" width="32.42578125" style="93" customWidth="1"/>
    <col min="14595" max="14595" width="48.140625" style="93" customWidth="1"/>
    <col min="14596" max="14596" width="17.42578125" style="93" customWidth="1"/>
    <col min="14597" max="14597" width="12.42578125" style="93" customWidth="1"/>
    <col min="14598" max="14598" width="14.7109375" style="93" customWidth="1"/>
    <col min="14599" max="14599" width="10.85546875" style="93" customWidth="1"/>
    <col min="14600" max="14600" width="11.140625" style="93" customWidth="1"/>
    <col min="14601" max="14601" width="10" style="93" customWidth="1"/>
    <col min="14602" max="14602" width="10.28515625" style="93" customWidth="1"/>
    <col min="14603" max="14603" width="11.28515625" style="93" customWidth="1"/>
    <col min="14604" max="14604" width="11.140625" style="93" customWidth="1"/>
    <col min="14605" max="14605" width="12" style="93" customWidth="1"/>
    <col min="14606" max="14606" width="12.140625" style="93" customWidth="1"/>
    <col min="14607" max="14848" width="9.140625" style="93"/>
    <col min="14849" max="14849" width="39.140625" style="93" customWidth="1"/>
    <col min="14850" max="14850" width="32.42578125" style="93" customWidth="1"/>
    <col min="14851" max="14851" width="48.140625" style="93" customWidth="1"/>
    <col min="14852" max="14852" width="17.42578125" style="93" customWidth="1"/>
    <col min="14853" max="14853" width="12.42578125" style="93" customWidth="1"/>
    <col min="14854" max="14854" width="14.7109375" style="93" customWidth="1"/>
    <col min="14855" max="14855" width="10.85546875" style="93" customWidth="1"/>
    <col min="14856" max="14856" width="11.140625" style="93" customWidth="1"/>
    <col min="14857" max="14857" width="10" style="93" customWidth="1"/>
    <col min="14858" max="14858" width="10.28515625" style="93" customWidth="1"/>
    <col min="14859" max="14859" width="11.28515625" style="93" customWidth="1"/>
    <col min="14860" max="14860" width="11.140625" style="93" customWidth="1"/>
    <col min="14861" max="14861" width="12" style="93" customWidth="1"/>
    <col min="14862" max="14862" width="12.140625" style="93" customWidth="1"/>
    <col min="14863" max="15104" width="9.140625" style="93"/>
    <col min="15105" max="15105" width="39.140625" style="93" customWidth="1"/>
    <col min="15106" max="15106" width="32.42578125" style="93" customWidth="1"/>
    <col min="15107" max="15107" width="48.140625" style="93" customWidth="1"/>
    <col min="15108" max="15108" width="17.42578125" style="93" customWidth="1"/>
    <col min="15109" max="15109" width="12.42578125" style="93" customWidth="1"/>
    <col min="15110" max="15110" width="14.7109375" style="93" customWidth="1"/>
    <col min="15111" max="15111" width="10.85546875" style="93" customWidth="1"/>
    <col min="15112" max="15112" width="11.140625" style="93" customWidth="1"/>
    <col min="15113" max="15113" width="10" style="93" customWidth="1"/>
    <col min="15114" max="15114" width="10.28515625" style="93" customWidth="1"/>
    <col min="15115" max="15115" width="11.28515625" style="93" customWidth="1"/>
    <col min="15116" max="15116" width="11.140625" style="93" customWidth="1"/>
    <col min="15117" max="15117" width="12" style="93" customWidth="1"/>
    <col min="15118" max="15118" width="12.140625" style="93" customWidth="1"/>
    <col min="15119" max="15360" width="9.140625" style="93"/>
    <col min="15361" max="15361" width="39.140625" style="93" customWidth="1"/>
    <col min="15362" max="15362" width="32.42578125" style="93" customWidth="1"/>
    <col min="15363" max="15363" width="48.140625" style="93" customWidth="1"/>
    <col min="15364" max="15364" width="17.42578125" style="93" customWidth="1"/>
    <col min="15365" max="15365" width="12.42578125" style="93" customWidth="1"/>
    <col min="15366" max="15366" width="14.7109375" style="93" customWidth="1"/>
    <col min="15367" max="15367" width="10.85546875" style="93" customWidth="1"/>
    <col min="15368" max="15368" width="11.140625" style="93" customWidth="1"/>
    <col min="15369" max="15369" width="10" style="93" customWidth="1"/>
    <col min="15370" max="15370" width="10.28515625" style="93" customWidth="1"/>
    <col min="15371" max="15371" width="11.28515625" style="93" customWidth="1"/>
    <col min="15372" max="15372" width="11.140625" style="93" customWidth="1"/>
    <col min="15373" max="15373" width="12" style="93" customWidth="1"/>
    <col min="15374" max="15374" width="12.140625" style="93" customWidth="1"/>
    <col min="15375" max="15616" width="9.140625" style="93"/>
    <col min="15617" max="15617" width="39.140625" style="93" customWidth="1"/>
    <col min="15618" max="15618" width="32.42578125" style="93" customWidth="1"/>
    <col min="15619" max="15619" width="48.140625" style="93" customWidth="1"/>
    <col min="15620" max="15620" width="17.42578125" style="93" customWidth="1"/>
    <col min="15621" max="15621" width="12.42578125" style="93" customWidth="1"/>
    <col min="15622" max="15622" width="14.7109375" style="93" customWidth="1"/>
    <col min="15623" max="15623" width="10.85546875" style="93" customWidth="1"/>
    <col min="15624" max="15624" width="11.140625" style="93" customWidth="1"/>
    <col min="15625" max="15625" width="10" style="93" customWidth="1"/>
    <col min="15626" max="15626" width="10.28515625" style="93" customWidth="1"/>
    <col min="15627" max="15627" width="11.28515625" style="93" customWidth="1"/>
    <col min="15628" max="15628" width="11.140625" style="93" customWidth="1"/>
    <col min="15629" max="15629" width="12" style="93" customWidth="1"/>
    <col min="15630" max="15630" width="12.140625" style="93" customWidth="1"/>
    <col min="15631" max="15872" width="9.140625" style="93"/>
    <col min="15873" max="15873" width="39.140625" style="93" customWidth="1"/>
    <col min="15874" max="15874" width="32.42578125" style="93" customWidth="1"/>
    <col min="15875" max="15875" width="48.140625" style="93" customWidth="1"/>
    <col min="15876" max="15876" width="17.42578125" style="93" customWidth="1"/>
    <col min="15877" max="15877" width="12.42578125" style="93" customWidth="1"/>
    <col min="15878" max="15878" width="14.7109375" style="93" customWidth="1"/>
    <col min="15879" max="15879" width="10.85546875" style="93" customWidth="1"/>
    <col min="15880" max="15880" width="11.140625" style="93" customWidth="1"/>
    <col min="15881" max="15881" width="10" style="93" customWidth="1"/>
    <col min="15882" max="15882" width="10.28515625" style="93" customWidth="1"/>
    <col min="15883" max="15883" width="11.28515625" style="93" customWidth="1"/>
    <col min="15884" max="15884" width="11.140625" style="93" customWidth="1"/>
    <col min="15885" max="15885" width="12" style="93" customWidth="1"/>
    <col min="15886" max="15886" width="12.140625" style="93" customWidth="1"/>
    <col min="15887" max="16128" width="9.140625" style="93"/>
    <col min="16129" max="16129" width="39.140625" style="93" customWidth="1"/>
    <col min="16130" max="16130" width="32.42578125" style="93" customWidth="1"/>
    <col min="16131" max="16131" width="48.140625" style="93" customWidth="1"/>
    <col min="16132" max="16132" width="17.42578125" style="93" customWidth="1"/>
    <col min="16133" max="16133" width="12.42578125" style="93" customWidth="1"/>
    <col min="16134" max="16134" width="14.7109375" style="93" customWidth="1"/>
    <col min="16135" max="16135" width="10.85546875" style="93" customWidth="1"/>
    <col min="16136" max="16136" width="11.140625" style="93" customWidth="1"/>
    <col min="16137" max="16137" width="10" style="93" customWidth="1"/>
    <col min="16138" max="16138" width="10.28515625" style="93" customWidth="1"/>
    <col min="16139" max="16139" width="11.28515625" style="93" customWidth="1"/>
    <col min="16140" max="16140" width="11.140625" style="93" customWidth="1"/>
    <col min="16141" max="16141" width="12" style="93" customWidth="1"/>
    <col min="16142" max="16142" width="12.140625" style="93" customWidth="1"/>
    <col min="16143" max="16384" width="9.140625" style="93"/>
  </cols>
  <sheetData>
    <row r="2" spans="1:14">
      <c r="C2" s="687" t="s">
        <v>155</v>
      </c>
      <c r="D2" s="687"/>
      <c r="E2" s="687"/>
      <c r="F2" s="687"/>
      <c r="G2" s="687"/>
      <c r="H2" s="687"/>
    </row>
    <row r="3" spans="1:14">
      <c r="C3" s="687" t="s">
        <v>308</v>
      </c>
      <c r="D3" s="687"/>
      <c r="E3" s="687"/>
      <c r="F3" s="687"/>
      <c r="G3" s="687"/>
    </row>
    <row r="4" spans="1:14">
      <c r="A4" s="462" t="s">
        <v>585</v>
      </c>
    </row>
    <row r="5" spans="1:14" ht="24" customHeight="1">
      <c r="A5" s="93" t="s">
        <v>309</v>
      </c>
      <c r="B5" s="94" t="s">
        <v>24</v>
      </c>
      <c r="C5" s="93" t="s">
        <v>310</v>
      </c>
      <c r="D5" s="94">
        <v>10</v>
      </c>
      <c r="E5" s="93" t="s">
        <v>275</v>
      </c>
      <c r="F5" s="94">
        <v>6098.0439999999999</v>
      </c>
      <c r="G5" s="93" t="s">
        <v>86</v>
      </c>
      <c r="H5" s="94">
        <v>800</v>
      </c>
    </row>
    <row r="7" spans="1:14" ht="45.75" customHeight="1">
      <c r="A7" s="93" t="s">
        <v>311</v>
      </c>
      <c r="B7" s="95" t="s">
        <v>312</v>
      </c>
      <c r="C7" s="93" t="s">
        <v>313</v>
      </c>
      <c r="D7" s="95" t="s">
        <v>312</v>
      </c>
    </row>
    <row r="9" spans="1:14" ht="75">
      <c r="A9" s="9" t="s">
        <v>314</v>
      </c>
      <c r="B9" s="410" t="s">
        <v>671</v>
      </c>
      <c r="C9" s="410" t="s">
        <v>672</v>
      </c>
      <c r="D9" s="249"/>
      <c r="G9" s="96"/>
    </row>
    <row r="10" spans="1:14">
      <c r="A10" s="9"/>
      <c r="B10" s="97"/>
      <c r="C10" s="97"/>
      <c r="D10" s="96"/>
      <c r="G10" s="96"/>
    </row>
    <row r="12" spans="1:14" ht="27" customHeight="1">
      <c r="A12" s="249" t="s">
        <v>154</v>
      </c>
      <c r="B12" s="249">
        <v>20</v>
      </c>
      <c r="C12" s="93" t="s">
        <v>153</v>
      </c>
      <c r="D12" s="249">
        <v>16</v>
      </c>
      <c r="E12" s="93" t="s">
        <v>93</v>
      </c>
      <c r="F12" s="249">
        <v>43</v>
      </c>
      <c r="G12" s="93" t="s">
        <v>94</v>
      </c>
      <c r="H12" s="249">
        <v>19</v>
      </c>
      <c r="I12" s="93" t="s">
        <v>95</v>
      </c>
      <c r="J12" s="249">
        <f>100+150+210+123+129+216+184+276+204+480</f>
        <v>2072</v>
      </c>
    </row>
    <row r="13" spans="1:14" ht="40.5" customHeight="1">
      <c r="A13" s="93" t="s">
        <v>152</v>
      </c>
      <c r="B13" s="93" t="s">
        <v>40</v>
      </c>
      <c r="C13" s="249">
        <v>608</v>
      </c>
      <c r="D13" s="93" t="s">
        <v>41</v>
      </c>
      <c r="E13" s="249">
        <v>14</v>
      </c>
      <c r="F13" s="93" t="s">
        <v>42</v>
      </c>
      <c r="G13" s="249">
        <v>1</v>
      </c>
      <c r="H13" s="93" t="s">
        <v>64</v>
      </c>
      <c r="I13" s="249">
        <v>623</v>
      </c>
      <c r="J13" s="93" t="s">
        <v>43</v>
      </c>
      <c r="K13" s="249">
        <f>11+20+12+2+5+43+6+58+14+5</f>
        <v>176</v>
      </c>
      <c r="L13" s="9" t="s">
        <v>119</v>
      </c>
      <c r="N13" s="98">
        <v>177</v>
      </c>
    </row>
    <row r="14" spans="1:14" ht="27" customHeight="1">
      <c r="A14" s="93" t="s">
        <v>151</v>
      </c>
      <c r="B14" s="93" t="s">
        <v>46</v>
      </c>
      <c r="C14" s="249">
        <v>1675</v>
      </c>
      <c r="D14" s="93" t="s">
        <v>47</v>
      </c>
      <c r="E14" s="249">
        <v>28</v>
      </c>
      <c r="F14" s="93" t="s">
        <v>48</v>
      </c>
      <c r="G14" s="249">
        <v>2</v>
      </c>
      <c r="H14" s="93" t="s">
        <v>77</v>
      </c>
      <c r="I14" s="249">
        <f>G14+E14+C14</f>
        <v>1705</v>
      </c>
      <c r="K14" s="249"/>
    </row>
    <row r="15" spans="1:14" ht="22.5" customHeight="1">
      <c r="B15" s="93" t="s">
        <v>49</v>
      </c>
      <c r="C15" s="249">
        <v>1675</v>
      </c>
      <c r="D15" s="93" t="s">
        <v>50</v>
      </c>
      <c r="E15" s="249">
        <v>37</v>
      </c>
      <c r="F15" s="93" t="s">
        <v>51</v>
      </c>
      <c r="G15" s="249">
        <v>2</v>
      </c>
      <c r="H15" s="93" t="s">
        <v>76</v>
      </c>
      <c r="I15" s="249">
        <f>G15+E15+C15</f>
        <v>1714</v>
      </c>
      <c r="K15" s="249"/>
    </row>
    <row r="17" spans="1:14">
      <c r="A17" s="99" t="s">
        <v>75</v>
      </c>
    </row>
    <row r="18" spans="1:14">
      <c r="A18" s="688" t="s">
        <v>150</v>
      </c>
      <c r="B18" s="689" t="s">
        <v>149</v>
      </c>
      <c r="C18" s="688" t="s">
        <v>55</v>
      </c>
      <c r="D18" s="689" t="s">
        <v>148</v>
      </c>
      <c r="E18" s="689" t="s">
        <v>147</v>
      </c>
      <c r="F18" s="691" t="s">
        <v>315</v>
      </c>
      <c r="G18" s="691"/>
      <c r="H18" s="691"/>
      <c r="I18" s="691"/>
      <c r="J18" s="691"/>
      <c r="K18" s="691"/>
      <c r="L18" s="691"/>
      <c r="M18" s="371"/>
      <c r="N18" s="98"/>
    </row>
    <row r="19" spans="1:14" s="101" customFormat="1" ht="41.25" customHeight="1">
      <c r="A19" s="688"/>
      <c r="B19" s="690"/>
      <c r="C19" s="688"/>
      <c r="D19" s="690"/>
      <c r="E19" s="690"/>
      <c r="F19" s="370" t="s">
        <v>146</v>
      </c>
      <c r="G19" s="370" t="s">
        <v>145</v>
      </c>
      <c r="H19" s="370" t="s">
        <v>144</v>
      </c>
      <c r="I19" s="370" t="s">
        <v>143</v>
      </c>
      <c r="J19" s="370" t="s">
        <v>142</v>
      </c>
      <c r="K19" s="370" t="s">
        <v>141</v>
      </c>
      <c r="L19" s="370" t="s">
        <v>140</v>
      </c>
      <c r="M19" s="100" t="s">
        <v>316</v>
      </c>
      <c r="N19" s="100" t="s">
        <v>317</v>
      </c>
    </row>
    <row r="20" spans="1:14">
      <c r="A20" s="56" t="s">
        <v>318</v>
      </c>
      <c r="B20" s="13">
        <v>500</v>
      </c>
      <c r="C20" s="253" t="s">
        <v>319</v>
      </c>
      <c r="D20" s="58">
        <f>ROUND((+B20*F5),0)/100000</f>
        <v>30.490220000000001</v>
      </c>
      <c r="E20" s="58">
        <f>ROUND((2361022+500000+50000),0)/100000</f>
        <v>29.110220000000002</v>
      </c>
      <c r="F20" s="58">
        <v>0</v>
      </c>
      <c r="G20" s="58">
        <f>470000/100000</f>
        <v>4.7</v>
      </c>
      <c r="H20" s="58">
        <f>ROUND((615660+33377),0)/100000</f>
        <v>6.4903700000000004</v>
      </c>
      <c r="I20" s="58">
        <f>723353/100000</f>
        <v>7.23353</v>
      </c>
      <c r="J20" s="58">
        <f>120201/100000</f>
        <v>1.20201</v>
      </c>
      <c r="K20" s="58">
        <f>660004/100000</f>
        <v>6.6000399999999999</v>
      </c>
      <c r="L20" s="58">
        <f>-229184/100000</f>
        <v>-2.2918400000000001</v>
      </c>
      <c r="M20" s="58">
        <f>SUM(F20:L20)</f>
        <v>23.934110000000004</v>
      </c>
      <c r="N20" s="102">
        <f>ROUND(M20/E20*100,0)</f>
        <v>82</v>
      </c>
    </row>
    <row r="21" spans="1:14">
      <c r="A21" s="56" t="s">
        <v>320</v>
      </c>
      <c r="B21" s="13">
        <v>360</v>
      </c>
      <c r="C21" s="253" t="s">
        <v>319</v>
      </c>
      <c r="D21" s="58">
        <f>ROUND((+B21*F5),0)/100000</f>
        <v>21.952960000000001</v>
      </c>
      <c r="E21" s="58">
        <f>2195296/100000</f>
        <v>21.952960000000001</v>
      </c>
      <c r="F21" s="58">
        <v>0</v>
      </c>
      <c r="G21" s="58">
        <v>0</v>
      </c>
      <c r="H21" s="58">
        <v>0</v>
      </c>
      <c r="I21" s="58">
        <f>227118/100000</f>
        <v>2.2711800000000002</v>
      </c>
      <c r="J21" s="58">
        <f>509872/100000</f>
        <v>5.0987200000000001</v>
      </c>
      <c r="K21" s="58">
        <f>1201530/100000</f>
        <v>12.0153</v>
      </c>
      <c r="L21" s="58">
        <f>-192810/100000</f>
        <v>-1.9280999999999999</v>
      </c>
      <c r="M21" s="58">
        <f t="shared" ref="M21:M27" si="0">SUM(F21:L21)</f>
        <v>17.457100000000001</v>
      </c>
      <c r="N21" s="102">
        <f t="shared" ref="N21:N27" si="1">ROUND(M21/E21*100,0)</f>
        <v>80</v>
      </c>
    </row>
    <row r="22" spans="1:14">
      <c r="A22" s="56" t="s">
        <v>321</v>
      </c>
      <c r="B22" s="13">
        <v>8.4</v>
      </c>
      <c r="C22" s="253" t="s">
        <v>242</v>
      </c>
      <c r="D22" s="103">
        <f>18.157+4.5</f>
        <v>22.657</v>
      </c>
      <c r="E22" s="103">
        <v>18.157</v>
      </c>
      <c r="F22" s="58">
        <v>0.495</v>
      </c>
      <c r="G22" s="58">
        <f>1.555</f>
        <v>1.5549999999999999</v>
      </c>
      <c r="H22" s="58">
        <v>2.6</v>
      </c>
      <c r="I22" s="104">
        <v>3.6</v>
      </c>
      <c r="J22" s="104">
        <v>3.6</v>
      </c>
      <c r="K22" s="58">
        <v>3.6</v>
      </c>
      <c r="L22" s="58">
        <f>1.7+0.5</f>
        <v>2.2000000000000002</v>
      </c>
      <c r="M22" s="58">
        <f t="shared" si="0"/>
        <v>17.649999999999999</v>
      </c>
      <c r="N22" s="102">
        <f t="shared" si="1"/>
        <v>97</v>
      </c>
    </row>
    <row r="23" spans="1:14">
      <c r="A23" s="56" t="s">
        <v>246</v>
      </c>
      <c r="B23" s="13">
        <v>0.84</v>
      </c>
      <c r="C23" s="253" t="s">
        <v>242</v>
      </c>
      <c r="D23" s="58">
        <f>6.295+0.36</f>
        <v>6.6550000000000002</v>
      </c>
      <c r="E23" s="58">
        <v>6.2949999999999999</v>
      </c>
      <c r="F23" s="58">
        <v>0.1472</v>
      </c>
      <c r="G23" s="58">
        <v>0.309</v>
      </c>
      <c r="H23" s="58">
        <v>0.43567</v>
      </c>
      <c r="I23" s="104">
        <f>ROUND((168000-24000),0)/100000</f>
        <v>1.44</v>
      </c>
      <c r="J23" s="104">
        <v>1.44</v>
      </c>
      <c r="K23" s="58">
        <v>1.44</v>
      </c>
      <c r="L23" s="58">
        <f>0.59+0.35</f>
        <v>0.94</v>
      </c>
      <c r="M23" s="58">
        <f t="shared" si="0"/>
        <v>6.1518699999999988</v>
      </c>
      <c r="N23" s="102">
        <f t="shared" si="1"/>
        <v>98</v>
      </c>
    </row>
    <row r="24" spans="1:14">
      <c r="A24" s="56" t="s">
        <v>322</v>
      </c>
      <c r="B24" s="13">
        <v>3.6</v>
      </c>
      <c r="C24" s="253" t="s">
        <v>242</v>
      </c>
      <c r="D24" s="103">
        <f>10.8+2.7</f>
        <v>13.5</v>
      </c>
      <c r="E24" s="103">
        <v>10.8</v>
      </c>
      <c r="F24" s="58">
        <f>0.41-0.22</f>
        <v>0.18999999999999997</v>
      </c>
      <c r="G24" s="58">
        <v>0</v>
      </c>
      <c r="H24" s="58">
        <v>2.2000000000000002</v>
      </c>
      <c r="I24" s="104">
        <f>2.6+0.539</f>
        <v>3.1390000000000002</v>
      </c>
      <c r="J24" s="104">
        <v>2.4</v>
      </c>
      <c r="K24" s="58">
        <v>2.4</v>
      </c>
      <c r="L24" s="58">
        <f>0.12+0.2</f>
        <v>0.32</v>
      </c>
      <c r="M24" s="58">
        <f t="shared" si="0"/>
        <v>10.649000000000001</v>
      </c>
      <c r="N24" s="102">
        <f t="shared" si="1"/>
        <v>99</v>
      </c>
    </row>
    <row r="25" spans="1:14">
      <c r="A25" s="56" t="s">
        <v>323</v>
      </c>
      <c r="B25" s="13">
        <v>0.24</v>
      </c>
      <c r="C25" s="253" t="s">
        <v>242</v>
      </c>
      <c r="D25" s="58">
        <f>0.82+0.18</f>
        <v>1</v>
      </c>
      <c r="E25" s="58">
        <f>0.82</f>
        <v>0.82</v>
      </c>
      <c r="F25" s="58"/>
      <c r="G25" s="58">
        <v>0</v>
      </c>
      <c r="H25" s="58">
        <v>0.04</v>
      </c>
      <c r="I25" s="104">
        <v>0.24</v>
      </c>
      <c r="J25" s="104">
        <v>0.24</v>
      </c>
      <c r="K25" s="58">
        <v>0.24</v>
      </c>
      <c r="L25" s="58">
        <v>0.06</v>
      </c>
      <c r="M25" s="58">
        <f t="shared" si="0"/>
        <v>0.82000000000000006</v>
      </c>
      <c r="N25" s="102">
        <f t="shared" si="1"/>
        <v>100</v>
      </c>
    </row>
    <row r="26" spans="1:14">
      <c r="A26" s="56" t="s">
        <v>324</v>
      </c>
      <c r="B26" s="13">
        <v>0.24</v>
      </c>
      <c r="C26" s="253" t="s">
        <v>242</v>
      </c>
      <c r="D26" s="103">
        <f>1.29+0.27</f>
        <v>1.56</v>
      </c>
      <c r="E26" s="103">
        <f>1.29</f>
        <v>1.29</v>
      </c>
      <c r="F26" s="58">
        <f>0.14087+0.02661</f>
        <v>0.16747999999999999</v>
      </c>
      <c r="G26" s="58">
        <v>0.13600000000000001</v>
      </c>
      <c r="H26" s="58">
        <f>0.429-0.15</f>
        <v>0.27900000000000003</v>
      </c>
      <c r="I26" s="58">
        <v>0.57654000000000005</v>
      </c>
      <c r="J26" s="58">
        <f>0.37-0.01</f>
        <v>0.36</v>
      </c>
      <c r="K26" s="58">
        <v>0.36</v>
      </c>
      <c r="L26" s="58">
        <f>0.36-0.05</f>
        <v>0.31</v>
      </c>
      <c r="M26" s="58">
        <f t="shared" si="0"/>
        <v>2.1890199999999997</v>
      </c>
      <c r="N26" s="102">
        <f t="shared" si="1"/>
        <v>170</v>
      </c>
    </row>
    <row r="27" spans="1:14">
      <c r="A27" s="56" t="s">
        <v>113</v>
      </c>
      <c r="B27" s="13">
        <v>0.2</v>
      </c>
      <c r="C27" s="253" t="s">
        <v>68</v>
      </c>
      <c r="D27" s="58">
        <v>0.2</v>
      </c>
      <c r="E27" s="58">
        <v>0.2</v>
      </c>
      <c r="F27" s="58"/>
      <c r="G27" s="58"/>
      <c r="H27" s="58">
        <v>0.2</v>
      </c>
      <c r="I27" s="58"/>
      <c r="J27" s="58"/>
      <c r="K27" s="58"/>
      <c r="L27" s="58"/>
      <c r="M27" s="58">
        <f t="shared" si="0"/>
        <v>0.2</v>
      </c>
      <c r="N27" s="102">
        <f t="shared" si="1"/>
        <v>100</v>
      </c>
    </row>
    <row r="28" spans="1:14" ht="30" customHeight="1">
      <c r="A28" s="105" t="s">
        <v>64</v>
      </c>
      <c r="B28" s="370"/>
      <c r="C28" s="370"/>
      <c r="D28" s="106">
        <f t="shared" ref="D28:M28" si="2">SUM(D20:D27)</f>
        <v>98.015180000000001</v>
      </c>
      <c r="E28" s="106">
        <f t="shared" si="2"/>
        <v>88.62518</v>
      </c>
      <c r="F28" s="106">
        <f t="shared" si="2"/>
        <v>0.9996799999999999</v>
      </c>
      <c r="G28" s="106">
        <f t="shared" si="2"/>
        <v>6.7</v>
      </c>
      <c r="H28" s="106">
        <f t="shared" si="2"/>
        <v>12.245039999999999</v>
      </c>
      <c r="I28" s="106">
        <f t="shared" si="2"/>
        <v>18.500249999999998</v>
      </c>
      <c r="J28" s="106">
        <f t="shared" si="2"/>
        <v>14.340729999999999</v>
      </c>
      <c r="K28" s="106">
        <f t="shared" si="2"/>
        <v>26.655339999999999</v>
      </c>
      <c r="L28" s="106">
        <f t="shared" si="2"/>
        <v>-0.38994000000000001</v>
      </c>
      <c r="M28" s="106">
        <f t="shared" si="2"/>
        <v>79.051099999999991</v>
      </c>
      <c r="N28" s="107">
        <f>ROUND(M28/E28*100,0)</f>
        <v>89</v>
      </c>
    </row>
    <row r="32" spans="1:14">
      <c r="L32" s="108"/>
    </row>
    <row r="33" spans="12:12">
      <c r="L33" s="108"/>
    </row>
  </sheetData>
  <mergeCells count="8">
    <mergeCell ref="C2:H2"/>
    <mergeCell ref="C3:G3"/>
    <mergeCell ref="A18:A19"/>
    <mergeCell ref="B18:B19"/>
    <mergeCell ref="C18:C19"/>
    <mergeCell ref="D18:D19"/>
    <mergeCell ref="E18:E19"/>
    <mergeCell ref="F18:L18"/>
  </mergeCells>
  <hyperlinks>
    <hyperlink ref="A4" location="'Fact Sheet of VDC'!A1" display="&lt;&lt;Back"/>
  </hyperlinks>
  <pageMargins left="0.43" right="0.5" top="0.2" bottom="0" header="0.14000000000000001" footer="0.14000000000000001"/>
  <pageSetup paperSize="9" scale="52"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1"/>
  <sheetViews>
    <sheetView workbookViewId="0">
      <selection activeCell="A3" sqref="A3"/>
    </sheetView>
  </sheetViews>
  <sheetFormatPr defaultRowHeight="15"/>
  <cols>
    <col min="1" max="1" width="9.140625" style="248"/>
    <col min="2" max="2" width="13.5703125" style="248" customWidth="1"/>
    <col min="3" max="3" width="14.85546875" style="248" customWidth="1"/>
    <col min="4" max="4" width="3.85546875" style="248" hidden="1" customWidth="1"/>
    <col min="5" max="5" width="11.85546875" style="248" customWidth="1"/>
    <col min="6" max="6" width="9.140625" style="248"/>
    <col min="7" max="7" width="11" style="248" customWidth="1"/>
    <col min="8" max="8" width="9.28515625" style="248" bestFit="1" customWidth="1"/>
    <col min="9" max="9" width="13" style="248" customWidth="1"/>
    <col min="10" max="12" width="9.42578125" style="248" bestFit="1" customWidth="1"/>
    <col min="13" max="15" width="10.140625" style="248" bestFit="1" customWidth="1"/>
    <col min="16" max="16" width="9.28515625" style="248" bestFit="1" customWidth="1"/>
    <col min="17" max="17" width="1.140625" style="248" customWidth="1"/>
    <col min="18" max="18" width="9.42578125" style="248" bestFit="1" customWidth="1"/>
    <col min="19" max="19" width="9.28515625" style="248" bestFit="1" customWidth="1"/>
    <col min="20" max="257" width="9.140625" style="248"/>
    <col min="258" max="258" width="13.5703125" style="248" customWidth="1"/>
    <col min="259" max="259" width="14.85546875" style="248" customWidth="1"/>
    <col min="260" max="260" width="0" style="248" hidden="1" customWidth="1"/>
    <col min="261" max="261" width="11.85546875" style="248" customWidth="1"/>
    <col min="262" max="262" width="9.140625" style="248"/>
    <col min="263" max="263" width="11" style="248" customWidth="1"/>
    <col min="264" max="264" width="9.28515625" style="248" bestFit="1" customWidth="1"/>
    <col min="265" max="265" width="13" style="248" customWidth="1"/>
    <col min="266" max="268" width="9.42578125" style="248" bestFit="1" customWidth="1"/>
    <col min="269" max="271" width="10.140625" style="248" bestFit="1" customWidth="1"/>
    <col min="272" max="272" width="9.28515625" style="248" bestFit="1" customWidth="1"/>
    <col min="273" max="273" width="1.140625" style="248" customWidth="1"/>
    <col min="274" max="274" width="9.42578125" style="248" bestFit="1" customWidth="1"/>
    <col min="275" max="275" width="9.28515625" style="248" bestFit="1" customWidth="1"/>
    <col min="276" max="513" width="9.140625" style="248"/>
    <col min="514" max="514" width="13.5703125" style="248" customWidth="1"/>
    <col min="515" max="515" width="14.85546875" style="248" customWidth="1"/>
    <col min="516" max="516" width="0" style="248" hidden="1" customWidth="1"/>
    <col min="517" max="517" width="11.85546875" style="248" customWidth="1"/>
    <col min="518" max="518" width="9.140625" style="248"/>
    <col min="519" max="519" width="11" style="248" customWidth="1"/>
    <col min="520" max="520" width="9.28515625" style="248" bestFit="1" customWidth="1"/>
    <col min="521" max="521" width="13" style="248" customWidth="1"/>
    <col min="522" max="524" width="9.42578125" style="248" bestFit="1" customWidth="1"/>
    <col min="525" max="527" width="10.140625" style="248" bestFit="1" customWidth="1"/>
    <col min="528" max="528" width="9.28515625" style="248" bestFit="1" customWidth="1"/>
    <col min="529" max="529" width="1.140625" style="248" customWidth="1"/>
    <col min="530" max="530" width="9.42578125" style="248" bestFit="1" customWidth="1"/>
    <col min="531" max="531" width="9.28515625" style="248" bestFit="1" customWidth="1"/>
    <col min="532" max="769" width="9.140625" style="248"/>
    <col min="770" max="770" width="13.5703125" style="248" customWidth="1"/>
    <col min="771" max="771" width="14.85546875" style="248" customWidth="1"/>
    <col min="772" max="772" width="0" style="248" hidden="1" customWidth="1"/>
    <col min="773" max="773" width="11.85546875" style="248" customWidth="1"/>
    <col min="774" max="774" width="9.140625" style="248"/>
    <col min="775" max="775" width="11" style="248" customWidth="1"/>
    <col min="776" max="776" width="9.28515625" style="248" bestFit="1" customWidth="1"/>
    <col min="777" max="777" width="13" style="248" customWidth="1"/>
    <col min="778" max="780" width="9.42578125" style="248" bestFit="1" customWidth="1"/>
    <col min="781" max="783" width="10.140625" style="248" bestFit="1" customWidth="1"/>
    <col min="784" max="784" width="9.28515625" style="248" bestFit="1" customWidth="1"/>
    <col min="785" max="785" width="1.140625" style="248" customWidth="1"/>
    <col min="786" max="786" width="9.42578125" style="248" bestFit="1" customWidth="1"/>
    <col min="787" max="787" width="9.28515625" style="248" bestFit="1" customWidth="1"/>
    <col min="788" max="1025" width="9.140625" style="248"/>
    <col min="1026" max="1026" width="13.5703125" style="248" customWidth="1"/>
    <col min="1027" max="1027" width="14.85546875" style="248" customWidth="1"/>
    <col min="1028" max="1028" width="0" style="248" hidden="1" customWidth="1"/>
    <col min="1029" max="1029" width="11.85546875" style="248" customWidth="1"/>
    <col min="1030" max="1030" width="9.140625" style="248"/>
    <col min="1031" max="1031" width="11" style="248" customWidth="1"/>
    <col min="1032" max="1032" width="9.28515625" style="248" bestFit="1" customWidth="1"/>
    <col min="1033" max="1033" width="13" style="248" customWidth="1"/>
    <col min="1034" max="1036" width="9.42578125" style="248" bestFit="1" customWidth="1"/>
    <col min="1037" max="1039" width="10.140625" style="248" bestFit="1" customWidth="1"/>
    <col min="1040" max="1040" width="9.28515625" style="248" bestFit="1" customWidth="1"/>
    <col min="1041" max="1041" width="1.140625" style="248" customWidth="1"/>
    <col min="1042" max="1042" width="9.42578125" style="248" bestFit="1" customWidth="1"/>
    <col min="1043" max="1043" width="9.28515625" style="248" bestFit="1" customWidth="1"/>
    <col min="1044" max="1281" width="9.140625" style="248"/>
    <col min="1282" max="1282" width="13.5703125" style="248" customWidth="1"/>
    <col min="1283" max="1283" width="14.85546875" style="248" customWidth="1"/>
    <col min="1284" max="1284" width="0" style="248" hidden="1" customWidth="1"/>
    <col min="1285" max="1285" width="11.85546875" style="248" customWidth="1"/>
    <col min="1286" max="1286" width="9.140625" style="248"/>
    <col min="1287" max="1287" width="11" style="248" customWidth="1"/>
    <col min="1288" max="1288" width="9.28515625" style="248" bestFit="1" customWidth="1"/>
    <col min="1289" max="1289" width="13" style="248" customWidth="1"/>
    <col min="1290" max="1292" width="9.42578125" style="248" bestFit="1" customWidth="1"/>
    <col min="1293" max="1295" width="10.140625" style="248" bestFit="1" customWidth="1"/>
    <col min="1296" max="1296" width="9.28515625" style="248" bestFit="1" customWidth="1"/>
    <col min="1297" max="1297" width="1.140625" style="248" customWidth="1"/>
    <col min="1298" max="1298" width="9.42578125" style="248" bestFit="1" customWidth="1"/>
    <col min="1299" max="1299" width="9.28515625" style="248" bestFit="1" customWidth="1"/>
    <col min="1300" max="1537" width="9.140625" style="248"/>
    <col min="1538" max="1538" width="13.5703125" style="248" customWidth="1"/>
    <col min="1539" max="1539" width="14.85546875" style="248" customWidth="1"/>
    <col min="1540" max="1540" width="0" style="248" hidden="1" customWidth="1"/>
    <col min="1541" max="1541" width="11.85546875" style="248" customWidth="1"/>
    <col min="1542" max="1542" width="9.140625" style="248"/>
    <col min="1543" max="1543" width="11" style="248" customWidth="1"/>
    <col min="1544" max="1544" width="9.28515625" style="248" bestFit="1" customWidth="1"/>
    <col min="1545" max="1545" width="13" style="248" customWidth="1"/>
    <col min="1546" max="1548" width="9.42578125" style="248" bestFit="1" customWidth="1"/>
    <col min="1549" max="1551" width="10.140625" style="248" bestFit="1" customWidth="1"/>
    <col min="1552" max="1552" width="9.28515625" style="248" bestFit="1" customWidth="1"/>
    <col min="1553" max="1553" width="1.140625" style="248" customWidth="1"/>
    <col min="1554" max="1554" width="9.42578125" style="248" bestFit="1" customWidth="1"/>
    <col min="1555" max="1555" width="9.28515625" style="248" bestFit="1" customWidth="1"/>
    <col min="1556" max="1793" width="9.140625" style="248"/>
    <col min="1794" max="1794" width="13.5703125" style="248" customWidth="1"/>
    <col min="1795" max="1795" width="14.85546875" style="248" customWidth="1"/>
    <col min="1796" max="1796" width="0" style="248" hidden="1" customWidth="1"/>
    <col min="1797" max="1797" width="11.85546875" style="248" customWidth="1"/>
    <col min="1798" max="1798" width="9.140625" style="248"/>
    <col min="1799" max="1799" width="11" style="248" customWidth="1"/>
    <col min="1800" max="1800" width="9.28515625" style="248" bestFit="1" customWidth="1"/>
    <col min="1801" max="1801" width="13" style="248" customWidth="1"/>
    <col min="1802" max="1804" width="9.42578125" style="248" bestFit="1" customWidth="1"/>
    <col min="1805" max="1807" width="10.140625" style="248" bestFit="1" customWidth="1"/>
    <col min="1808" max="1808" width="9.28515625" style="248" bestFit="1" customWidth="1"/>
    <col min="1809" max="1809" width="1.140625" style="248" customWidth="1"/>
    <col min="1810" max="1810" width="9.42578125" style="248" bestFit="1" customWidth="1"/>
    <col min="1811" max="1811" width="9.28515625" style="248" bestFit="1" customWidth="1"/>
    <col min="1812" max="2049" width="9.140625" style="248"/>
    <col min="2050" max="2050" width="13.5703125" style="248" customWidth="1"/>
    <col min="2051" max="2051" width="14.85546875" style="248" customWidth="1"/>
    <col min="2052" max="2052" width="0" style="248" hidden="1" customWidth="1"/>
    <col min="2053" max="2053" width="11.85546875" style="248" customWidth="1"/>
    <col min="2054" max="2054" width="9.140625" style="248"/>
    <col min="2055" max="2055" width="11" style="248" customWidth="1"/>
    <col min="2056" max="2056" width="9.28515625" style="248" bestFit="1" customWidth="1"/>
    <col min="2057" max="2057" width="13" style="248" customWidth="1"/>
    <col min="2058" max="2060" width="9.42578125" style="248" bestFit="1" customWidth="1"/>
    <col min="2061" max="2063" width="10.140625" style="248" bestFit="1" customWidth="1"/>
    <col min="2064" max="2064" width="9.28515625" style="248" bestFit="1" customWidth="1"/>
    <col min="2065" max="2065" width="1.140625" style="248" customWidth="1"/>
    <col min="2066" max="2066" width="9.42578125" style="248" bestFit="1" customWidth="1"/>
    <col min="2067" max="2067" width="9.28515625" style="248" bestFit="1" customWidth="1"/>
    <col min="2068" max="2305" width="9.140625" style="248"/>
    <col min="2306" max="2306" width="13.5703125" style="248" customWidth="1"/>
    <col min="2307" max="2307" width="14.85546875" style="248" customWidth="1"/>
    <col min="2308" max="2308" width="0" style="248" hidden="1" customWidth="1"/>
    <col min="2309" max="2309" width="11.85546875" style="248" customWidth="1"/>
    <col min="2310" max="2310" width="9.140625" style="248"/>
    <col min="2311" max="2311" width="11" style="248" customWidth="1"/>
    <col min="2312" max="2312" width="9.28515625" style="248" bestFit="1" customWidth="1"/>
    <col min="2313" max="2313" width="13" style="248" customWidth="1"/>
    <col min="2314" max="2316" width="9.42578125" style="248" bestFit="1" customWidth="1"/>
    <col min="2317" max="2319" width="10.140625" style="248" bestFit="1" customWidth="1"/>
    <col min="2320" max="2320" width="9.28515625" style="248" bestFit="1" customWidth="1"/>
    <col min="2321" max="2321" width="1.140625" style="248" customWidth="1"/>
    <col min="2322" max="2322" width="9.42578125" style="248" bestFit="1" customWidth="1"/>
    <col min="2323" max="2323" width="9.28515625" style="248" bestFit="1" customWidth="1"/>
    <col min="2324" max="2561" width="9.140625" style="248"/>
    <col min="2562" max="2562" width="13.5703125" style="248" customWidth="1"/>
    <col min="2563" max="2563" width="14.85546875" style="248" customWidth="1"/>
    <col min="2564" max="2564" width="0" style="248" hidden="1" customWidth="1"/>
    <col min="2565" max="2565" width="11.85546875" style="248" customWidth="1"/>
    <col min="2566" max="2566" width="9.140625" style="248"/>
    <col min="2567" max="2567" width="11" style="248" customWidth="1"/>
    <col min="2568" max="2568" width="9.28515625" style="248" bestFit="1" customWidth="1"/>
    <col min="2569" max="2569" width="13" style="248" customWidth="1"/>
    <col min="2570" max="2572" width="9.42578125" style="248" bestFit="1" customWidth="1"/>
    <col min="2573" max="2575" width="10.140625" style="248" bestFit="1" customWidth="1"/>
    <col min="2576" max="2576" width="9.28515625" style="248" bestFit="1" customWidth="1"/>
    <col min="2577" max="2577" width="1.140625" style="248" customWidth="1"/>
    <col min="2578" max="2578" width="9.42578125" style="248" bestFit="1" customWidth="1"/>
    <col min="2579" max="2579" width="9.28515625" style="248" bestFit="1" customWidth="1"/>
    <col min="2580" max="2817" width="9.140625" style="248"/>
    <col min="2818" max="2818" width="13.5703125" style="248" customWidth="1"/>
    <col min="2819" max="2819" width="14.85546875" style="248" customWidth="1"/>
    <col min="2820" max="2820" width="0" style="248" hidden="1" customWidth="1"/>
    <col min="2821" max="2821" width="11.85546875" style="248" customWidth="1"/>
    <col min="2822" max="2822" width="9.140625" style="248"/>
    <col min="2823" max="2823" width="11" style="248" customWidth="1"/>
    <col min="2824" max="2824" width="9.28515625" style="248" bestFit="1" customWidth="1"/>
    <col min="2825" max="2825" width="13" style="248" customWidth="1"/>
    <col min="2826" max="2828" width="9.42578125" style="248" bestFit="1" customWidth="1"/>
    <col min="2829" max="2831" width="10.140625" style="248" bestFit="1" customWidth="1"/>
    <col min="2832" max="2832" width="9.28515625" style="248" bestFit="1" customWidth="1"/>
    <col min="2833" max="2833" width="1.140625" style="248" customWidth="1"/>
    <col min="2834" max="2834" width="9.42578125" style="248" bestFit="1" customWidth="1"/>
    <col min="2835" max="2835" width="9.28515625" style="248" bestFit="1" customWidth="1"/>
    <col min="2836" max="3073" width="9.140625" style="248"/>
    <col min="3074" max="3074" width="13.5703125" style="248" customWidth="1"/>
    <col min="3075" max="3075" width="14.85546875" style="248" customWidth="1"/>
    <col min="3076" max="3076" width="0" style="248" hidden="1" customWidth="1"/>
    <col min="3077" max="3077" width="11.85546875" style="248" customWidth="1"/>
    <col min="3078" max="3078" width="9.140625" style="248"/>
    <col min="3079" max="3079" width="11" style="248" customWidth="1"/>
    <col min="3080" max="3080" width="9.28515625" style="248" bestFit="1" customWidth="1"/>
    <col min="3081" max="3081" width="13" style="248" customWidth="1"/>
    <col min="3082" max="3084" width="9.42578125" style="248" bestFit="1" customWidth="1"/>
    <col min="3085" max="3087" width="10.140625" style="248" bestFit="1" customWidth="1"/>
    <col min="3088" max="3088" width="9.28515625" style="248" bestFit="1" customWidth="1"/>
    <col min="3089" max="3089" width="1.140625" style="248" customWidth="1"/>
    <col min="3090" max="3090" width="9.42578125" style="248" bestFit="1" customWidth="1"/>
    <col min="3091" max="3091" width="9.28515625" style="248" bestFit="1" customWidth="1"/>
    <col min="3092" max="3329" width="9.140625" style="248"/>
    <col min="3330" max="3330" width="13.5703125" style="248" customWidth="1"/>
    <col min="3331" max="3331" width="14.85546875" style="248" customWidth="1"/>
    <col min="3332" max="3332" width="0" style="248" hidden="1" customWidth="1"/>
    <col min="3333" max="3333" width="11.85546875" style="248" customWidth="1"/>
    <col min="3334" max="3334" width="9.140625" style="248"/>
    <col min="3335" max="3335" width="11" style="248" customWidth="1"/>
    <col min="3336" max="3336" width="9.28515625" style="248" bestFit="1" customWidth="1"/>
    <col min="3337" max="3337" width="13" style="248" customWidth="1"/>
    <col min="3338" max="3340" width="9.42578125" style="248" bestFit="1" customWidth="1"/>
    <col min="3341" max="3343" width="10.140625" style="248" bestFit="1" customWidth="1"/>
    <col min="3344" max="3344" width="9.28515625" style="248" bestFit="1" customWidth="1"/>
    <col min="3345" max="3345" width="1.140625" style="248" customWidth="1"/>
    <col min="3346" max="3346" width="9.42578125" style="248" bestFit="1" customWidth="1"/>
    <col min="3347" max="3347" width="9.28515625" style="248" bestFit="1" customWidth="1"/>
    <col min="3348" max="3585" width="9.140625" style="248"/>
    <col min="3586" max="3586" width="13.5703125" style="248" customWidth="1"/>
    <col min="3587" max="3587" width="14.85546875" style="248" customWidth="1"/>
    <col min="3588" max="3588" width="0" style="248" hidden="1" customWidth="1"/>
    <col min="3589" max="3589" width="11.85546875" style="248" customWidth="1"/>
    <col min="3590" max="3590" width="9.140625" style="248"/>
    <col min="3591" max="3591" width="11" style="248" customWidth="1"/>
    <col min="3592" max="3592" width="9.28515625" style="248" bestFit="1" customWidth="1"/>
    <col min="3593" max="3593" width="13" style="248" customWidth="1"/>
    <col min="3594" max="3596" width="9.42578125" style="248" bestFit="1" customWidth="1"/>
    <col min="3597" max="3599" width="10.140625" style="248" bestFit="1" customWidth="1"/>
    <col min="3600" max="3600" width="9.28515625" style="248" bestFit="1" customWidth="1"/>
    <col min="3601" max="3601" width="1.140625" style="248" customWidth="1"/>
    <col min="3602" max="3602" width="9.42578125" style="248" bestFit="1" customWidth="1"/>
    <col min="3603" max="3603" width="9.28515625" style="248" bestFit="1" customWidth="1"/>
    <col min="3604" max="3841" width="9.140625" style="248"/>
    <col min="3842" max="3842" width="13.5703125" style="248" customWidth="1"/>
    <col min="3843" max="3843" width="14.85546875" style="248" customWidth="1"/>
    <col min="3844" max="3844" width="0" style="248" hidden="1" customWidth="1"/>
    <col min="3845" max="3845" width="11.85546875" style="248" customWidth="1"/>
    <col min="3846" max="3846" width="9.140625" style="248"/>
    <col min="3847" max="3847" width="11" style="248" customWidth="1"/>
    <col min="3848" max="3848" width="9.28515625" style="248" bestFit="1" customWidth="1"/>
    <col min="3849" max="3849" width="13" style="248" customWidth="1"/>
    <col min="3850" max="3852" width="9.42578125" style="248" bestFit="1" customWidth="1"/>
    <col min="3853" max="3855" width="10.140625" style="248" bestFit="1" customWidth="1"/>
    <col min="3856" max="3856" width="9.28515625" style="248" bestFit="1" customWidth="1"/>
    <col min="3857" max="3857" width="1.140625" style="248" customWidth="1"/>
    <col min="3858" max="3858" width="9.42578125" style="248" bestFit="1" customWidth="1"/>
    <col min="3859" max="3859" width="9.28515625" style="248" bestFit="1" customWidth="1"/>
    <col min="3860" max="4097" width="9.140625" style="248"/>
    <col min="4098" max="4098" width="13.5703125" style="248" customWidth="1"/>
    <col min="4099" max="4099" width="14.85546875" style="248" customWidth="1"/>
    <col min="4100" max="4100" width="0" style="248" hidden="1" customWidth="1"/>
    <col min="4101" max="4101" width="11.85546875" style="248" customWidth="1"/>
    <col min="4102" max="4102" width="9.140625" style="248"/>
    <col min="4103" max="4103" width="11" style="248" customWidth="1"/>
    <col min="4104" max="4104" width="9.28515625" style="248" bestFit="1" customWidth="1"/>
    <col min="4105" max="4105" width="13" style="248" customWidth="1"/>
    <col min="4106" max="4108" width="9.42578125" style="248" bestFit="1" customWidth="1"/>
    <col min="4109" max="4111" width="10.140625" style="248" bestFit="1" customWidth="1"/>
    <col min="4112" max="4112" width="9.28515625" style="248" bestFit="1" customWidth="1"/>
    <col min="4113" max="4113" width="1.140625" style="248" customWidth="1"/>
    <col min="4114" max="4114" width="9.42578125" style="248" bestFit="1" customWidth="1"/>
    <col min="4115" max="4115" width="9.28515625" style="248" bestFit="1" customWidth="1"/>
    <col min="4116" max="4353" width="9.140625" style="248"/>
    <col min="4354" max="4354" width="13.5703125" style="248" customWidth="1"/>
    <col min="4355" max="4355" width="14.85546875" style="248" customWidth="1"/>
    <col min="4356" max="4356" width="0" style="248" hidden="1" customWidth="1"/>
    <col min="4357" max="4357" width="11.85546875" style="248" customWidth="1"/>
    <col min="4358" max="4358" width="9.140625" style="248"/>
    <col min="4359" max="4359" width="11" style="248" customWidth="1"/>
    <col min="4360" max="4360" width="9.28515625" style="248" bestFit="1" customWidth="1"/>
    <col min="4361" max="4361" width="13" style="248" customWidth="1"/>
    <col min="4362" max="4364" width="9.42578125" style="248" bestFit="1" customWidth="1"/>
    <col min="4365" max="4367" width="10.140625" style="248" bestFit="1" customWidth="1"/>
    <col min="4368" max="4368" width="9.28515625" style="248" bestFit="1" customWidth="1"/>
    <col min="4369" max="4369" width="1.140625" style="248" customWidth="1"/>
    <col min="4370" max="4370" width="9.42578125" style="248" bestFit="1" customWidth="1"/>
    <col min="4371" max="4371" width="9.28515625" style="248" bestFit="1" customWidth="1"/>
    <col min="4372" max="4609" width="9.140625" style="248"/>
    <col min="4610" max="4610" width="13.5703125" style="248" customWidth="1"/>
    <col min="4611" max="4611" width="14.85546875" style="248" customWidth="1"/>
    <col min="4612" max="4612" width="0" style="248" hidden="1" customWidth="1"/>
    <col min="4613" max="4613" width="11.85546875" style="248" customWidth="1"/>
    <col min="4614" max="4614" width="9.140625" style="248"/>
    <col min="4615" max="4615" width="11" style="248" customWidth="1"/>
    <col min="4616" max="4616" width="9.28515625" style="248" bestFit="1" customWidth="1"/>
    <col min="4617" max="4617" width="13" style="248" customWidth="1"/>
    <col min="4618" max="4620" width="9.42578125" style="248" bestFit="1" customWidth="1"/>
    <col min="4621" max="4623" width="10.140625" style="248" bestFit="1" customWidth="1"/>
    <col min="4624" max="4624" width="9.28515625" style="248" bestFit="1" customWidth="1"/>
    <col min="4625" max="4625" width="1.140625" style="248" customWidth="1"/>
    <col min="4626" max="4626" width="9.42578125" style="248" bestFit="1" customWidth="1"/>
    <col min="4627" max="4627" width="9.28515625" style="248" bestFit="1" customWidth="1"/>
    <col min="4628" max="4865" width="9.140625" style="248"/>
    <col min="4866" max="4866" width="13.5703125" style="248" customWidth="1"/>
    <col min="4867" max="4867" width="14.85546875" style="248" customWidth="1"/>
    <col min="4868" max="4868" width="0" style="248" hidden="1" customWidth="1"/>
    <col min="4869" max="4869" width="11.85546875" style="248" customWidth="1"/>
    <col min="4870" max="4870" width="9.140625" style="248"/>
    <col min="4871" max="4871" width="11" style="248" customWidth="1"/>
    <col min="4872" max="4872" width="9.28515625" style="248" bestFit="1" customWidth="1"/>
    <col min="4873" max="4873" width="13" style="248" customWidth="1"/>
    <col min="4874" max="4876" width="9.42578125" style="248" bestFit="1" customWidth="1"/>
    <col min="4877" max="4879" width="10.140625" style="248" bestFit="1" customWidth="1"/>
    <col min="4880" max="4880" width="9.28515625" style="248" bestFit="1" customWidth="1"/>
    <col min="4881" max="4881" width="1.140625" style="248" customWidth="1"/>
    <col min="4882" max="4882" width="9.42578125" style="248" bestFit="1" customWidth="1"/>
    <col min="4883" max="4883" width="9.28515625" style="248" bestFit="1" customWidth="1"/>
    <col min="4884" max="5121" width="9.140625" style="248"/>
    <col min="5122" max="5122" width="13.5703125" style="248" customWidth="1"/>
    <col min="5123" max="5123" width="14.85546875" style="248" customWidth="1"/>
    <col min="5124" max="5124" width="0" style="248" hidden="1" customWidth="1"/>
    <col min="5125" max="5125" width="11.85546875" style="248" customWidth="1"/>
    <col min="5126" max="5126" width="9.140625" style="248"/>
    <col min="5127" max="5127" width="11" style="248" customWidth="1"/>
    <col min="5128" max="5128" width="9.28515625" style="248" bestFit="1" customWidth="1"/>
    <col min="5129" max="5129" width="13" style="248" customWidth="1"/>
    <col min="5130" max="5132" width="9.42578125" style="248" bestFit="1" customWidth="1"/>
    <col min="5133" max="5135" width="10.140625" style="248" bestFit="1" customWidth="1"/>
    <col min="5136" max="5136" width="9.28515625" style="248" bestFit="1" customWidth="1"/>
    <col min="5137" max="5137" width="1.140625" style="248" customWidth="1"/>
    <col min="5138" max="5138" width="9.42578125" style="248" bestFit="1" customWidth="1"/>
    <col min="5139" max="5139" width="9.28515625" style="248" bestFit="1" customWidth="1"/>
    <col min="5140" max="5377" width="9.140625" style="248"/>
    <col min="5378" max="5378" width="13.5703125" style="248" customWidth="1"/>
    <col min="5379" max="5379" width="14.85546875" style="248" customWidth="1"/>
    <col min="5380" max="5380" width="0" style="248" hidden="1" customWidth="1"/>
    <col min="5381" max="5381" width="11.85546875" style="248" customWidth="1"/>
    <col min="5382" max="5382" width="9.140625" style="248"/>
    <col min="5383" max="5383" width="11" style="248" customWidth="1"/>
    <col min="5384" max="5384" width="9.28515625" style="248" bestFit="1" customWidth="1"/>
    <col min="5385" max="5385" width="13" style="248" customWidth="1"/>
    <col min="5386" max="5388" width="9.42578125" style="248" bestFit="1" customWidth="1"/>
    <col min="5389" max="5391" width="10.140625" style="248" bestFit="1" customWidth="1"/>
    <col min="5392" max="5392" width="9.28515625" style="248" bestFit="1" customWidth="1"/>
    <col min="5393" max="5393" width="1.140625" style="248" customWidth="1"/>
    <col min="5394" max="5394" width="9.42578125" style="248" bestFit="1" customWidth="1"/>
    <col min="5395" max="5395" width="9.28515625" style="248" bestFit="1" customWidth="1"/>
    <col min="5396" max="5633" width="9.140625" style="248"/>
    <col min="5634" max="5634" width="13.5703125" style="248" customWidth="1"/>
    <col min="5635" max="5635" width="14.85546875" style="248" customWidth="1"/>
    <col min="5636" max="5636" width="0" style="248" hidden="1" customWidth="1"/>
    <col min="5637" max="5637" width="11.85546875" style="248" customWidth="1"/>
    <col min="5638" max="5638" width="9.140625" style="248"/>
    <col min="5639" max="5639" width="11" style="248" customWidth="1"/>
    <col min="5640" max="5640" width="9.28515625" style="248" bestFit="1" customWidth="1"/>
    <col min="5641" max="5641" width="13" style="248" customWidth="1"/>
    <col min="5642" max="5644" width="9.42578125" style="248" bestFit="1" customWidth="1"/>
    <col min="5645" max="5647" width="10.140625" style="248" bestFit="1" customWidth="1"/>
    <col min="5648" max="5648" width="9.28515625" style="248" bestFit="1" customWidth="1"/>
    <col min="5649" max="5649" width="1.140625" style="248" customWidth="1"/>
    <col min="5650" max="5650" width="9.42578125" style="248" bestFit="1" customWidth="1"/>
    <col min="5651" max="5651" width="9.28515625" style="248" bestFit="1" customWidth="1"/>
    <col min="5652" max="5889" width="9.140625" style="248"/>
    <col min="5890" max="5890" width="13.5703125" style="248" customWidth="1"/>
    <col min="5891" max="5891" width="14.85546875" style="248" customWidth="1"/>
    <col min="5892" max="5892" width="0" style="248" hidden="1" customWidth="1"/>
    <col min="5893" max="5893" width="11.85546875" style="248" customWidth="1"/>
    <col min="5894" max="5894" width="9.140625" style="248"/>
    <col min="5895" max="5895" width="11" style="248" customWidth="1"/>
    <col min="5896" max="5896" width="9.28515625" style="248" bestFit="1" customWidth="1"/>
    <col min="5897" max="5897" width="13" style="248" customWidth="1"/>
    <col min="5898" max="5900" width="9.42578125" style="248" bestFit="1" customWidth="1"/>
    <col min="5901" max="5903" width="10.140625" style="248" bestFit="1" customWidth="1"/>
    <col min="5904" max="5904" width="9.28515625" style="248" bestFit="1" customWidth="1"/>
    <col min="5905" max="5905" width="1.140625" style="248" customWidth="1"/>
    <col min="5906" max="5906" width="9.42578125" style="248" bestFit="1" customWidth="1"/>
    <col min="5907" max="5907" width="9.28515625" style="248" bestFit="1" customWidth="1"/>
    <col min="5908" max="6145" width="9.140625" style="248"/>
    <col min="6146" max="6146" width="13.5703125" style="248" customWidth="1"/>
    <col min="6147" max="6147" width="14.85546875" style="248" customWidth="1"/>
    <col min="6148" max="6148" width="0" style="248" hidden="1" customWidth="1"/>
    <col min="6149" max="6149" width="11.85546875" style="248" customWidth="1"/>
    <col min="6150" max="6150" width="9.140625" style="248"/>
    <col min="6151" max="6151" width="11" style="248" customWidth="1"/>
    <col min="6152" max="6152" width="9.28515625" style="248" bestFit="1" customWidth="1"/>
    <col min="6153" max="6153" width="13" style="248" customWidth="1"/>
    <col min="6154" max="6156" width="9.42578125" style="248" bestFit="1" customWidth="1"/>
    <col min="6157" max="6159" width="10.140625" style="248" bestFit="1" customWidth="1"/>
    <col min="6160" max="6160" width="9.28515625" style="248" bestFit="1" customWidth="1"/>
    <col min="6161" max="6161" width="1.140625" style="248" customWidth="1"/>
    <col min="6162" max="6162" width="9.42578125" style="248" bestFit="1" customWidth="1"/>
    <col min="6163" max="6163" width="9.28515625" style="248" bestFit="1" customWidth="1"/>
    <col min="6164" max="6401" width="9.140625" style="248"/>
    <col min="6402" max="6402" width="13.5703125" style="248" customWidth="1"/>
    <col min="6403" max="6403" width="14.85546875" style="248" customWidth="1"/>
    <col min="6404" max="6404" width="0" style="248" hidden="1" customWidth="1"/>
    <col min="6405" max="6405" width="11.85546875" style="248" customWidth="1"/>
    <col min="6406" max="6406" width="9.140625" style="248"/>
    <col min="6407" max="6407" width="11" style="248" customWidth="1"/>
    <col min="6408" max="6408" width="9.28515625" style="248" bestFit="1" customWidth="1"/>
    <col min="6409" max="6409" width="13" style="248" customWidth="1"/>
    <col min="6410" max="6412" width="9.42578125" style="248" bestFit="1" customWidth="1"/>
    <col min="6413" max="6415" width="10.140625" style="248" bestFit="1" customWidth="1"/>
    <col min="6416" max="6416" width="9.28515625" style="248" bestFit="1" customWidth="1"/>
    <col min="6417" max="6417" width="1.140625" style="248" customWidth="1"/>
    <col min="6418" max="6418" width="9.42578125" style="248" bestFit="1" customWidth="1"/>
    <col min="6419" max="6419" width="9.28515625" style="248" bestFit="1" customWidth="1"/>
    <col min="6420" max="6657" width="9.140625" style="248"/>
    <col min="6658" max="6658" width="13.5703125" style="248" customWidth="1"/>
    <col min="6659" max="6659" width="14.85546875" style="248" customWidth="1"/>
    <col min="6660" max="6660" width="0" style="248" hidden="1" customWidth="1"/>
    <col min="6661" max="6661" width="11.85546875" style="248" customWidth="1"/>
    <col min="6662" max="6662" width="9.140625" style="248"/>
    <col min="6663" max="6663" width="11" style="248" customWidth="1"/>
    <col min="6664" max="6664" width="9.28515625" style="248" bestFit="1" customWidth="1"/>
    <col min="6665" max="6665" width="13" style="248" customWidth="1"/>
    <col min="6666" max="6668" width="9.42578125" style="248" bestFit="1" customWidth="1"/>
    <col min="6669" max="6671" width="10.140625" style="248" bestFit="1" customWidth="1"/>
    <col min="6672" max="6672" width="9.28515625" style="248" bestFit="1" customWidth="1"/>
    <col min="6673" max="6673" width="1.140625" style="248" customWidth="1"/>
    <col min="6674" max="6674" width="9.42578125" style="248" bestFit="1" customWidth="1"/>
    <col min="6675" max="6675" width="9.28515625" style="248" bestFit="1" customWidth="1"/>
    <col min="6676" max="6913" width="9.140625" style="248"/>
    <col min="6914" max="6914" width="13.5703125" style="248" customWidth="1"/>
    <col min="6915" max="6915" width="14.85546875" style="248" customWidth="1"/>
    <col min="6916" max="6916" width="0" style="248" hidden="1" customWidth="1"/>
    <col min="6917" max="6917" width="11.85546875" style="248" customWidth="1"/>
    <col min="6918" max="6918" width="9.140625" style="248"/>
    <col min="6919" max="6919" width="11" style="248" customWidth="1"/>
    <col min="6920" max="6920" width="9.28515625" style="248" bestFit="1" customWidth="1"/>
    <col min="6921" max="6921" width="13" style="248" customWidth="1"/>
    <col min="6922" max="6924" width="9.42578125" style="248" bestFit="1" customWidth="1"/>
    <col min="6925" max="6927" width="10.140625" style="248" bestFit="1" customWidth="1"/>
    <col min="6928" max="6928" width="9.28515625" style="248" bestFit="1" customWidth="1"/>
    <col min="6929" max="6929" width="1.140625" style="248" customWidth="1"/>
    <col min="6930" max="6930" width="9.42578125" style="248" bestFit="1" customWidth="1"/>
    <col min="6931" max="6931" width="9.28515625" style="248" bestFit="1" customWidth="1"/>
    <col min="6932" max="7169" width="9.140625" style="248"/>
    <col min="7170" max="7170" width="13.5703125" style="248" customWidth="1"/>
    <col min="7171" max="7171" width="14.85546875" style="248" customWidth="1"/>
    <col min="7172" max="7172" width="0" style="248" hidden="1" customWidth="1"/>
    <col min="7173" max="7173" width="11.85546875" style="248" customWidth="1"/>
    <col min="7174" max="7174" width="9.140625" style="248"/>
    <col min="7175" max="7175" width="11" style="248" customWidth="1"/>
    <col min="7176" max="7176" width="9.28515625" style="248" bestFit="1" customWidth="1"/>
    <col min="7177" max="7177" width="13" style="248" customWidth="1"/>
    <col min="7178" max="7180" width="9.42578125" style="248" bestFit="1" customWidth="1"/>
    <col min="7181" max="7183" width="10.140625" style="248" bestFit="1" customWidth="1"/>
    <col min="7184" max="7184" width="9.28515625" style="248" bestFit="1" customWidth="1"/>
    <col min="7185" max="7185" width="1.140625" style="248" customWidth="1"/>
    <col min="7186" max="7186" width="9.42578125" style="248" bestFit="1" customWidth="1"/>
    <col min="7187" max="7187" width="9.28515625" style="248" bestFit="1" customWidth="1"/>
    <col min="7188" max="7425" width="9.140625" style="248"/>
    <col min="7426" max="7426" width="13.5703125" style="248" customWidth="1"/>
    <col min="7427" max="7427" width="14.85546875" style="248" customWidth="1"/>
    <col min="7428" max="7428" width="0" style="248" hidden="1" customWidth="1"/>
    <col min="7429" max="7429" width="11.85546875" style="248" customWidth="1"/>
    <col min="7430" max="7430" width="9.140625" style="248"/>
    <col min="7431" max="7431" width="11" style="248" customWidth="1"/>
    <col min="7432" max="7432" width="9.28515625" style="248" bestFit="1" customWidth="1"/>
    <col min="7433" max="7433" width="13" style="248" customWidth="1"/>
    <col min="7434" max="7436" width="9.42578125" style="248" bestFit="1" customWidth="1"/>
    <col min="7437" max="7439" width="10.140625" style="248" bestFit="1" customWidth="1"/>
    <col min="7440" max="7440" width="9.28515625" style="248" bestFit="1" customWidth="1"/>
    <col min="7441" max="7441" width="1.140625" style="248" customWidth="1"/>
    <col min="7442" max="7442" width="9.42578125" style="248" bestFit="1" customWidth="1"/>
    <col min="7443" max="7443" width="9.28515625" style="248" bestFit="1" customWidth="1"/>
    <col min="7444" max="7681" width="9.140625" style="248"/>
    <col min="7682" max="7682" width="13.5703125" style="248" customWidth="1"/>
    <col min="7683" max="7683" width="14.85546875" style="248" customWidth="1"/>
    <col min="7684" max="7684" width="0" style="248" hidden="1" customWidth="1"/>
    <col min="7685" max="7685" width="11.85546875" style="248" customWidth="1"/>
    <col min="7686" max="7686" width="9.140625" style="248"/>
    <col min="7687" max="7687" width="11" style="248" customWidth="1"/>
    <col min="7688" max="7688" width="9.28515625" style="248" bestFit="1" customWidth="1"/>
    <col min="7689" max="7689" width="13" style="248" customWidth="1"/>
    <col min="7690" max="7692" width="9.42578125" style="248" bestFit="1" customWidth="1"/>
    <col min="7693" max="7695" width="10.140625" style="248" bestFit="1" customWidth="1"/>
    <col min="7696" max="7696" width="9.28515625" style="248" bestFit="1" customWidth="1"/>
    <col min="7697" max="7697" width="1.140625" style="248" customWidth="1"/>
    <col min="7698" max="7698" width="9.42578125" style="248" bestFit="1" customWidth="1"/>
    <col min="7699" max="7699" width="9.28515625" style="248" bestFit="1" customWidth="1"/>
    <col min="7700" max="7937" width="9.140625" style="248"/>
    <col min="7938" max="7938" width="13.5703125" style="248" customWidth="1"/>
    <col min="7939" max="7939" width="14.85546875" style="248" customWidth="1"/>
    <col min="7940" max="7940" width="0" style="248" hidden="1" customWidth="1"/>
    <col min="7941" max="7941" width="11.85546875" style="248" customWidth="1"/>
    <col min="7942" max="7942" width="9.140625" style="248"/>
    <col min="7943" max="7943" width="11" style="248" customWidth="1"/>
    <col min="7944" max="7944" width="9.28515625" style="248" bestFit="1" customWidth="1"/>
    <col min="7945" max="7945" width="13" style="248" customWidth="1"/>
    <col min="7946" max="7948" width="9.42578125" style="248" bestFit="1" customWidth="1"/>
    <col min="7949" max="7951" width="10.140625" style="248" bestFit="1" customWidth="1"/>
    <col min="7952" max="7952" width="9.28515625" style="248" bestFit="1" customWidth="1"/>
    <col min="7953" max="7953" width="1.140625" style="248" customWidth="1"/>
    <col min="7954" max="7954" width="9.42578125" style="248" bestFit="1" customWidth="1"/>
    <col min="7955" max="7955" width="9.28515625" style="248" bestFit="1" customWidth="1"/>
    <col min="7956" max="8193" width="9.140625" style="248"/>
    <col min="8194" max="8194" width="13.5703125" style="248" customWidth="1"/>
    <col min="8195" max="8195" width="14.85546875" style="248" customWidth="1"/>
    <col min="8196" max="8196" width="0" style="248" hidden="1" customWidth="1"/>
    <col min="8197" max="8197" width="11.85546875" style="248" customWidth="1"/>
    <col min="8198" max="8198" width="9.140625" style="248"/>
    <col min="8199" max="8199" width="11" style="248" customWidth="1"/>
    <col min="8200" max="8200" width="9.28515625" style="248" bestFit="1" customWidth="1"/>
    <col min="8201" max="8201" width="13" style="248" customWidth="1"/>
    <col min="8202" max="8204" width="9.42578125" style="248" bestFit="1" customWidth="1"/>
    <col min="8205" max="8207" width="10.140625" style="248" bestFit="1" customWidth="1"/>
    <col min="8208" max="8208" width="9.28515625" style="248" bestFit="1" customWidth="1"/>
    <col min="8209" max="8209" width="1.140625" style="248" customWidth="1"/>
    <col min="8210" max="8210" width="9.42578125" style="248" bestFit="1" customWidth="1"/>
    <col min="8211" max="8211" width="9.28515625" style="248" bestFit="1" customWidth="1"/>
    <col min="8212" max="8449" width="9.140625" style="248"/>
    <col min="8450" max="8450" width="13.5703125" style="248" customWidth="1"/>
    <col min="8451" max="8451" width="14.85546875" style="248" customWidth="1"/>
    <col min="8452" max="8452" width="0" style="248" hidden="1" customWidth="1"/>
    <col min="8453" max="8453" width="11.85546875" style="248" customWidth="1"/>
    <col min="8454" max="8454" width="9.140625" style="248"/>
    <col min="8455" max="8455" width="11" style="248" customWidth="1"/>
    <col min="8456" max="8456" width="9.28515625" style="248" bestFit="1" customWidth="1"/>
    <col min="8457" max="8457" width="13" style="248" customWidth="1"/>
    <col min="8458" max="8460" width="9.42578125" style="248" bestFit="1" customWidth="1"/>
    <col min="8461" max="8463" width="10.140625" style="248" bestFit="1" customWidth="1"/>
    <col min="8464" max="8464" width="9.28515625" style="248" bestFit="1" customWidth="1"/>
    <col min="8465" max="8465" width="1.140625" style="248" customWidth="1"/>
    <col min="8466" max="8466" width="9.42578125" style="248" bestFit="1" customWidth="1"/>
    <col min="8467" max="8467" width="9.28515625" style="248" bestFit="1" customWidth="1"/>
    <col min="8468" max="8705" width="9.140625" style="248"/>
    <col min="8706" max="8706" width="13.5703125" style="248" customWidth="1"/>
    <col min="8707" max="8707" width="14.85546875" style="248" customWidth="1"/>
    <col min="8708" max="8708" width="0" style="248" hidden="1" customWidth="1"/>
    <col min="8709" max="8709" width="11.85546875" style="248" customWidth="1"/>
    <col min="8710" max="8710" width="9.140625" style="248"/>
    <col min="8711" max="8711" width="11" style="248" customWidth="1"/>
    <col min="8712" max="8712" width="9.28515625" style="248" bestFit="1" customWidth="1"/>
    <col min="8713" max="8713" width="13" style="248" customWidth="1"/>
    <col min="8714" max="8716" width="9.42578125" style="248" bestFit="1" customWidth="1"/>
    <col min="8717" max="8719" width="10.140625" style="248" bestFit="1" customWidth="1"/>
    <col min="8720" max="8720" width="9.28515625" style="248" bestFit="1" customWidth="1"/>
    <col min="8721" max="8721" width="1.140625" style="248" customWidth="1"/>
    <col min="8722" max="8722" width="9.42578125" style="248" bestFit="1" customWidth="1"/>
    <col min="8723" max="8723" width="9.28515625" style="248" bestFit="1" customWidth="1"/>
    <col min="8724" max="8961" width="9.140625" style="248"/>
    <col min="8962" max="8962" width="13.5703125" style="248" customWidth="1"/>
    <col min="8963" max="8963" width="14.85546875" style="248" customWidth="1"/>
    <col min="8964" max="8964" width="0" style="248" hidden="1" customWidth="1"/>
    <col min="8965" max="8965" width="11.85546875" style="248" customWidth="1"/>
    <col min="8966" max="8966" width="9.140625" style="248"/>
    <col min="8967" max="8967" width="11" style="248" customWidth="1"/>
    <col min="8968" max="8968" width="9.28515625" style="248" bestFit="1" customWidth="1"/>
    <col min="8969" max="8969" width="13" style="248" customWidth="1"/>
    <col min="8970" max="8972" width="9.42578125" style="248" bestFit="1" customWidth="1"/>
    <col min="8973" max="8975" width="10.140625" style="248" bestFit="1" customWidth="1"/>
    <col min="8976" max="8976" width="9.28515625" style="248" bestFit="1" customWidth="1"/>
    <col min="8977" max="8977" width="1.140625" style="248" customWidth="1"/>
    <col min="8978" max="8978" width="9.42578125" style="248" bestFit="1" customWidth="1"/>
    <col min="8979" max="8979" width="9.28515625" style="248" bestFit="1" customWidth="1"/>
    <col min="8980" max="9217" width="9.140625" style="248"/>
    <col min="9218" max="9218" width="13.5703125" style="248" customWidth="1"/>
    <col min="9219" max="9219" width="14.85546875" style="248" customWidth="1"/>
    <col min="9220" max="9220" width="0" style="248" hidden="1" customWidth="1"/>
    <col min="9221" max="9221" width="11.85546875" style="248" customWidth="1"/>
    <col min="9222" max="9222" width="9.140625" style="248"/>
    <col min="9223" max="9223" width="11" style="248" customWidth="1"/>
    <col min="9224" max="9224" width="9.28515625" style="248" bestFit="1" customWidth="1"/>
    <col min="9225" max="9225" width="13" style="248" customWidth="1"/>
    <col min="9226" max="9228" width="9.42578125" style="248" bestFit="1" customWidth="1"/>
    <col min="9229" max="9231" width="10.140625" style="248" bestFit="1" customWidth="1"/>
    <col min="9232" max="9232" width="9.28515625" style="248" bestFit="1" customWidth="1"/>
    <col min="9233" max="9233" width="1.140625" style="248" customWidth="1"/>
    <col min="9234" max="9234" width="9.42578125" style="248" bestFit="1" customWidth="1"/>
    <col min="9235" max="9235" width="9.28515625" style="248" bestFit="1" customWidth="1"/>
    <col min="9236" max="9473" width="9.140625" style="248"/>
    <col min="9474" max="9474" width="13.5703125" style="248" customWidth="1"/>
    <col min="9475" max="9475" width="14.85546875" style="248" customWidth="1"/>
    <col min="9476" max="9476" width="0" style="248" hidden="1" customWidth="1"/>
    <col min="9477" max="9477" width="11.85546875" style="248" customWidth="1"/>
    <col min="9478" max="9478" width="9.140625" style="248"/>
    <col min="9479" max="9479" width="11" style="248" customWidth="1"/>
    <col min="9480" max="9480" width="9.28515625" style="248" bestFit="1" customWidth="1"/>
    <col min="9481" max="9481" width="13" style="248" customWidth="1"/>
    <col min="9482" max="9484" width="9.42578125" style="248" bestFit="1" customWidth="1"/>
    <col min="9485" max="9487" width="10.140625" style="248" bestFit="1" customWidth="1"/>
    <col min="9488" max="9488" width="9.28515625" style="248" bestFit="1" customWidth="1"/>
    <col min="9489" max="9489" width="1.140625" style="248" customWidth="1"/>
    <col min="9490" max="9490" width="9.42578125" style="248" bestFit="1" customWidth="1"/>
    <col min="9491" max="9491" width="9.28515625" style="248" bestFit="1" customWidth="1"/>
    <col min="9492" max="9729" width="9.140625" style="248"/>
    <col min="9730" max="9730" width="13.5703125" style="248" customWidth="1"/>
    <col min="9731" max="9731" width="14.85546875" style="248" customWidth="1"/>
    <col min="9732" max="9732" width="0" style="248" hidden="1" customWidth="1"/>
    <col min="9733" max="9733" width="11.85546875" style="248" customWidth="1"/>
    <col min="9734" max="9734" width="9.140625" style="248"/>
    <col min="9735" max="9735" width="11" style="248" customWidth="1"/>
    <col min="9736" max="9736" width="9.28515625" style="248" bestFit="1" customWidth="1"/>
    <col min="9737" max="9737" width="13" style="248" customWidth="1"/>
    <col min="9738" max="9740" width="9.42578125" style="248" bestFit="1" customWidth="1"/>
    <col min="9741" max="9743" width="10.140625" style="248" bestFit="1" customWidth="1"/>
    <col min="9744" max="9744" width="9.28515625" style="248" bestFit="1" customWidth="1"/>
    <col min="9745" max="9745" width="1.140625" style="248" customWidth="1"/>
    <col min="9746" max="9746" width="9.42578125" style="248" bestFit="1" customWidth="1"/>
    <col min="9747" max="9747" width="9.28515625" style="248" bestFit="1" customWidth="1"/>
    <col min="9748" max="9985" width="9.140625" style="248"/>
    <col min="9986" max="9986" width="13.5703125" style="248" customWidth="1"/>
    <col min="9987" max="9987" width="14.85546875" style="248" customWidth="1"/>
    <col min="9988" max="9988" width="0" style="248" hidden="1" customWidth="1"/>
    <col min="9989" max="9989" width="11.85546875" style="248" customWidth="1"/>
    <col min="9990" max="9990" width="9.140625" style="248"/>
    <col min="9991" max="9991" width="11" style="248" customWidth="1"/>
    <col min="9992" max="9992" width="9.28515625" style="248" bestFit="1" customWidth="1"/>
    <col min="9993" max="9993" width="13" style="248" customWidth="1"/>
    <col min="9994" max="9996" width="9.42578125" style="248" bestFit="1" customWidth="1"/>
    <col min="9997" max="9999" width="10.140625" style="248" bestFit="1" customWidth="1"/>
    <col min="10000" max="10000" width="9.28515625" style="248" bestFit="1" customWidth="1"/>
    <col min="10001" max="10001" width="1.140625" style="248" customWidth="1"/>
    <col min="10002" max="10002" width="9.42578125" style="248" bestFit="1" customWidth="1"/>
    <col min="10003" max="10003" width="9.28515625" style="248" bestFit="1" customWidth="1"/>
    <col min="10004" max="10241" width="9.140625" style="248"/>
    <col min="10242" max="10242" width="13.5703125" style="248" customWidth="1"/>
    <col min="10243" max="10243" width="14.85546875" style="248" customWidth="1"/>
    <col min="10244" max="10244" width="0" style="248" hidden="1" customWidth="1"/>
    <col min="10245" max="10245" width="11.85546875" style="248" customWidth="1"/>
    <col min="10246" max="10246" width="9.140625" style="248"/>
    <col min="10247" max="10247" width="11" style="248" customWidth="1"/>
    <col min="10248" max="10248" width="9.28515625" style="248" bestFit="1" customWidth="1"/>
    <col min="10249" max="10249" width="13" style="248" customWidth="1"/>
    <col min="10250" max="10252" width="9.42578125" style="248" bestFit="1" customWidth="1"/>
    <col min="10253" max="10255" width="10.140625" style="248" bestFit="1" customWidth="1"/>
    <col min="10256" max="10256" width="9.28515625" style="248" bestFit="1" customWidth="1"/>
    <col min="10257" max="10257" width="1.140625" style="248" customWidth="1"/>
    <col min="10258" max="10258" width="9.42578125" style="248" bestFit="1" customWidth="1"/>
    <col min="10259" max="10259" width="9.28515625" style="248" bestFit="1" customWidth="1"/>
    <col min="10260" max="10497" width="9.140625" style="248"/>
    <col min="10498" max="10498" width="13.5703125" style="248" customWidth="1"/>
    <col min="10499" max="10499" width="14.85546875" style="248" customWidth="1"/>
    <col min="10500" max="10500" width="0" style="248" hidden="1" customWidth="1"/>
    <col min="10501" max="10501" width="11.85546875" style="248" customWidth="1"/>
    <col min="10502" max="10502" width="9.140625" style="248"/>
    <col min="10503" max="10503" width="11" style="248" customWidth="1"/>
    <col min="10504" max="10504" width="9.28515625" style="248" bestFit="1" customWidth="1"/>
    <col min="10505" max="10505" width="13" style="248" customWidth="1"/>
    <col min="10506" max="10508" width="9.42578125" style="248" bestFit="1" customWidth="1"/>
    <col min="10509" max="10511" width="10.140625" style="248" bestFit="1" customWidth="1"/>
    <col min="10512" max="10512" width="9.28515625" style="248" bestFit="1" customWidth="1"/>
    <col min="10513" max="10513" width="1.140625" style="248" customWidth="1"/>
    <col min="10514" max="10514" width="9.42578125" style="248" bestFit="1" customWidth="1"/>
    <col min="10515" max="10515" width="9.28515625" style="248" bestFit="1" customWidth="1"/>
    <col min="10516" max="10753" width="9.140625" style="248"/>
    <col min="10754" max="10754" width="13.5703125" style="248" customWidth="1"/>
    <col min="10755" max="10755" width="14.85546875" style="248" customWidth="1"/>
    <col min="10756" max="10756" width="0" style="248" hidden="1" customWidth="1"/>
    <col min="10757" max="10757" width="11.85546875" style="248" customWidth="1"/>
    <col min="10758" max="10758" width="9.140625" style="248"/>
    <col min="10759" max="10759" width="11" style="248" customWidth="1"/>
    <col min="10760" max="10760" width="9.28515625" style="248" bestFit="1" customWidth="1"/>
    <col min="10761" max="10761" width="13" style="248" customWidth="1"/>
    <col min="10762" max="10764" width="9.42578125" style="248" bestFit="1" customWidth="1"/>
    <col min="10765" max="10767" width="10.140625" style="248" bestFit="1" customWidth="1"/>
    <col min="10768" max="10768" width="9.28515625" style="248" bestFit="1" customWidth="1"/>
    <col min="10769" max="10769" width="1.140625" style="248" customWidth="1"/>
    <col min="10770" max="10770" width="9.42578125" style="248" bestFit="1" customWidth="1"/>
    <col min="10771" max="10771" width="9.28515625" style="248" bestFit="1" customWidth="1"/>
    <col min="10772" max="11009" width="9.140625" style="248"/>
    <col min="11010" max="11010" width="13.5703125" style="248" customWidth="1"/>
    <col min="11011" max="11011" width="14.85546875" style="248" customWidth="1"/>
    <col min="11012" max="11012" width="0" style="248" hidden="1" customWidth="1"/>
    <col min="11013" max="11013" width="11.85546875" style="248" customWidth="1"/>
    <col min="11014" max="11014" width="9.140625" style="248"/>
    <col min="11015" max="11015" width="11" style="248" customWidth="1"/>
    <col min="11016" max="11016" width="9.28515625" style="248" bestFit="1" customWidth="1"/>
    <col min="11017" max="11017" width="13" style="248" customWidth="1"/>
    <col min="11018" max="11020" width="9.42578125" style="248" bestFit="1" customWidth="1"/>
    <col min="11021" max="11023" width="10.140625" style="248" bestFit="1" customWidth="1"/>
    <col min="11024" max="11024" width="9.28515625" style="248" bestFit="1" customWidth="1"/>
    <col min="11025" max="11025" width="1.140625" style="248" customWidth="1"/>
    <col min="11026" max="11026" width="9.42578125" style="248" bestFit="1" customWidth="1"/>
    <col min="11027" max="11027" width="9.28515625" style="248" bestFit="1" customWidth="1"/>
    <col min="11028" max="11265" width="9.140625" style="248"/>
    <col min="11266" max="11266" width="13.5703125" style="248" customWidth="1"/>
    <col min="11267" max="11267" width="14.85546875" style="248" customWidth="1"/>
    <col min="11268" max="11268" width="0" style="248" hidden="1" customWidth="1"/>
    <col min="11269" max="11269" width="11.85546875" style="248" customWidth="1"/>
    <col min="11270" max="11270" width="9.140625" style="248"/>
    <col min="11271" max="11271" width="11" style="248" customWidth="1"/>
    <col min="11272" max="11272" width="9.28515625" style="248" bestFit="1" customWidth="1"/>
    <col min="11273" max="11273" width="13" style="248" customWidth="1"/>
    <col min="11274" max="11276" width="9.42578125" style="248" bestFit="1" customWidth="1"/>
    <col min="11277" max="11279" width="10.140625" style="248" bestFit="1" customWidth="1"/>
    <col min="11280" max="11280" width="9.28515625" style="248" bestFit="1" customWidth="1"/>
    <col min="11281" max="11281" width="1.140625" style="248" customWidth="1"/>
    <col min="11282" max="11282" width="9.42578125" style="248" bestFit="1" customWidth="1"/>
    <col min="11283" max="11283" width="9.28515625" style="248" bestFit="1" customWidth="1"/>
    <col min="11284" max="11521" width="9.140625" style="248"/>
    <col min="11522" max="11522" width="13.5703125" style="248" customWidth="1"/>
    <col min="11523" max="11523" width="14.85546875" style="248" customWidth="1"/>
    <col min="11524" max="11524" width="0" style="248" hidden="1" customWidth="1"/>
    <col min="11525" max="11525" width="11.85546875" style="248" customWidth="1"/>
    <col min="11526" max="11526" width="9.140625" style="248"/>
    <col min="11527" max="11527" width="11" style="248" customWidth="1"/>
    <col min="11528" max="11528" width="9.28515625" style="248" bestFit="1" customWidth="1"/>
    <col min="11529" max="11529" width="13" style="248" customWidth="1"/>
    <col min="11530" max="11532" width="9.42578125" style="248" bestFit="1" customWidth="1"/>
    <col min="11533" max="11535" width="10.140625" style="248" bestFit="1" customWidth="1"/>
    <col min="11536" max="11536" width="9.28515625" style="248" bestFit="1" customWidth="1"/>
    <col min="11537" max="11537" width="1.140625" style="248" customWidth="1"/>
    <col min="11538" max="11538" width="9.42578125" style="248" bestFit="1" customWidth="1"/>
    <col min="11539" max="11539" width="9.28515625" style="248" bestFit="1" customWidth="1"/>
    <col min="11540" max="11777" width="9.140625" style="248"/>
    <col min="11778" max="11778" width="13.5703125" style="248" customWidth="1"/>
    <col min="11779" max="11779" width="14.85546875" style="248" customWidth="1"/>
    <col min="11780" max="11780" width="0" style="248" hidden="1" customWidth="1"/>
    <col min="11781" max="11781" width="11.85546875" style="248" customWidth="1"/>
    <col min="11782" max="11782" width="9.140625" style="248"/>
    <col min="11783" max="11783" width="11" style="248" customWidth="1"/>
    <col min="11784" max="11784" width="9.28515625" style="248" bestFit="1" customWidth="1"/>
    <col min="11785" max="11785" width="13" style="248" customWidth="1"/>
    <col min="11786" max="11788" width="9.42578125" style="248" bestFit="1" customWidth="1"/>
    <col min="11789" max="11791" width="10.140625" style="248" bestFit="1" customWidth="1"/>
    <col min="11792" max="11792" width="9.28515625" style="248" bestFit="1" customWidth="1"/>
    <col min="11793" max="11793" width="1.140625" style="248" customWidth="1"/>
    <col min="11794" max="11794" width="9.42578125" style="248" bestFit="1" customWidth="1"/>
    <col min="11795" max="11795" width="9.28515625" style="248" bestFit="1" customWidth="1"/>
    <col min="11796" max="12033" width="9.140625" style="248"/>
    <col min="12034" max="12034" width="13.5703125" style="248" customWidth="1"/>
    <col min="12035" max="12035" width="14.85546875" style="248" customWidth="1"/>
    <col min="12036" max="12036" width="0" style="248" hidden="1" customWidth="1"/>
    <col min="12037" max="12037" width="11.85546875" style="248" customWidth="1"/>
    <col min="12038" max="12038" width="9.140625" style="248"/>
    <col min="12039" max="12039" width="11" style="248" customWidth="1"/>
    <col min="12040" max="12040" width="9.28515625" style="248" bestFit="1" customWidth="1"/>
    <col min="12041" max="12041" width="13" style="248" customWidth="1"/>
    <col min="12042" max="12044" width="9.42578125" style="248" bestFit="1" customWidth="1"/>
    <col min="12045" max="12047" width="10.140625" style="248" bestFit="1" customWidth="1"/>
    <col min="12048" max="12048" width="9.28515625" style="248" bestFit="1" customWidth="1"/>
    <col min="12049" max="12049" width="1.140625" style="248" customWidth="1"/>
    <col min="12050" max="12050" width="9.42578125" style="248" bestFit="1" customWidth="1"/>
    <col min="12051" max="12051" width="9.28515625" style="248" bestFit="1" customWidth="1"/>
    <col min="12052" max="12289" width="9.140625" style="248"/>
    <col min="12290" max="12290" width="13.5703125" style="248" customWidth="1"/>
    <col min="12291" max="12291" width="14.85546875" style="248" customWidth="1"/>
    <col min="12292" max="12292" width="0" style="248" hidden="1" customWidth="1"/>
    <col min="12293" max="12293" width="11.85546875" style="248" customWidth="1"/>
    <col min="12294" max="12294" width="9.140625" style="248"/>
    <col min="12295" max="12295" width="11" style="248" customWidth="1"/>
    <col min="12296" max="12296" width="9.28515625" style="248" bestFit="1" customWidth="1"/>
    <col min="12297" max="12297" width="13" style="248" customWidth="1"/>
    <col min="12298" max="12300" width="9.42578125" style="248" bestFit="1" customWidth="1"/>
    <col min="12301" max="12303" width="10.140625" style="248" bestFit="1" customWidth="1"/>
    <col min="12304" max="12304" width="9.28515625" style="248" bestFit="1" customWidth="1"/>
    <col min="12305" max="12305" width="1.140625" style="248" customWidth="1"/>
    <col min="12306" max="12306" width="9.42578125" style="248" bestFit="1" customWidth="1"/>
    <col min="12307" max="12307" width="9.28515625" style="248" bestFit="1" customWidth="1"/>
    <col min="12308" max="12545" width="9.140625" style="248"/>
    <col min="12546" max="12546" width="13.5703125" style="248" customWidth="1"/>
    <col min="12547" max="12547" width="14.85546875" style="248" customWidth="1"/>
    <col min="12548" max="12548" width="0" style="248" hidden="1" customWidth="1"/>
    <col min="12549" max="12549" width="11.85546875" style="248" customWidth="1"/>
    <col min="12550" max="12550" width="9.140625" style="248"/>
    <col min="12551" max="12551" width="11" style="248" customWidth="1"/>
    <col min="12552" max="12552" width="9.28515625" style="248" bestFit="1" customWidth="1"/>
    <col min="12553" max="12553" width="13" style="248" customWidth="1"/>
    <col min="12554" max="12556" width="9.42578125" style="248" bestFit="1" customWidth="1"/>
    <col min="12557" max="12559" width="10.140625" style="248" bestFit="1" customWidth="1"/>
    <col min="12560" max="12560" width="9.28515625" style="248" bestFit="1" customWidth="1"/>
    <col min="12561" max="12561" width="1.140625" style="248" customWidth="1"/>
    <col min="12562" max="12562" width="9.42578125" style="248" bestFit="1" customWidth="1"/>
    <col min="12563" max="12563" width="9.28515625" style="248" bestFit="1" customWidth="1"/>
    <col min="12564" max="12801" width="9.140625" style="248"/>
    <col min="12802" max="12802" width="13.5703125" style="248" customWidth="1"/>
    <col min="12803" max="12803" width="14.85546875" style="248" customWidth="1"/>
    <col min="12804" max="12804" width="0" style="248" hidden="1" customWidth="1"/>
    <col min="12805" max="12805" width="11.85546875" style="248" customWidth="1"/>
    <col min="12806" max="12806" width="9.140625" style="248"/>
    <col min="12807" max="12807" width="11" style="248" customWidth="1"/>
    <col min="12808" max="12808" width="9.28515625" style="248" bestFit="1" customWidth="1"/>
    <col min="12809" max="12809" width="13" style="248" customWidth="1"/>
    <col min="12810" max="12812" width="9.42578125" style="248" bestFit="1" customWidth="1"/>
    <col min="12813" max="12815" width="10.140625" style="248" bestFit="1" customWidth="1"/>
    <col min="12816" max="12816" width="9.28515625" style="248" bestFit="1" customWidth="1"/>
    <col min="12817" max="12817" width="1.140625" style="248" customWidth="1"/>
    <col min="12818" max="12818" width="9.42578125" style="248" bestFit="1" customWidth="1"/>
    <col min="12819" max="12819" width="9.28515625" style="248" bestFit="1" customWidth="1"/>
    <col min="12820" max="13057" width="9.140625" style="248"/>
    <col min="13058" max="13058" width="13.5703125" style="248" customWidth="1"/>
    <col min="13059" max="13059" width="14.85546875" style="248" customWidth="1"/>
    <col min="13060" max="13060" width="0" style="248" hidden="1" customWidth="1"/>
    <col min="13061" max="13061" width="11.85546875" style="248" customWidth="1"/>
    <col min="13062" max="13062" width="9.140625" style="248"/>
    <col min="13063" max="13063" width="11" style="248" customWidth="1"/>
    <col min="13064" max="13064" width="9.28515625" style="248" bestFit="1" customWidth="1"/>
    <col min="13065" max="13065" width="13" style="248" customWidth="1"/>
    <col min="13066" max="13068" width="9.42578125" style="248" bestFit="1" customWidth="1"/>
    <col min="13069" max="13071" width="10.140625" style="248" bestFit="1" customWidth="1"/>
    <col min="13072" max="13072" width="9.28515625" style="248" bestFit="1" customWidth="1"/>
    <col min="13073" max="13073" width="1.140625" style="248" customWidth="1"/>
    <col min="13074" max="13074" width="9.42578125" style="248" bestFit="1" customWidth="1"/>
    <col min="13075" max="13075" width="9.28515625" style="248" bestFit="1" customWidth="1"/>
    <col min="13076" max="13313" width="9.140625" style="248"/>
    <col min="13314" max="13314" width="13.5703125" style="248" customWidth="1"/>
    <col min="13315" max="13315" width="14.85546875" style="248" customWidth="1"/>
    <col min="13316" max="13316" width="0" style="248" hidden="1" customWidth="1"/>
    <col min="13317" max="13317" width="11.85546875" style="248" customWidth="1"/>
    <col min="13318" max="13318" width="9.140625" style="248"/>
    <col min="13319" max="13319" width="11" style="248" customWidth="1"/>
    <col min="13320" max="13320" width="9.28515625" style="248" bestFit="1" customWidth="1"/>
    <col min="13321" max="13321" width="13" style="248" customWidth="1"/>
    <col min="13322" max="13324" width="9.42578125" style="248" bestFit="1" customWidth="1"/>
    <col min="13325" max="13327" width="10.140625" style="248" bestFit="1" customWidth="1"/>
    <col min="13328" max="13328" width="9.28515625" style="248" bestFit="1" customWidth="1"/>
    <col min="13329" max="13329" width="1.140625" style="248" customWidth="1"/>
    <col min="13330" max="13330" width="9.42578125" style="248" bestFit="1" customWidth="1"/>
    <col min="13331" max="13331" width="9.28515625" style="248" bestFit="1" customWidth="1"/>
    <col min="13332" max="13569" width="9.140625" style="248"/>
    <col min="13570" max="13570" width="13.5703125" style="248" customWidth="1"/>
    <col min="13571" max="13571" width="14.85546875" style="248" customWidth="1"/>
    <col min="13572" max="13572" width="0" style="248" hidden="1" customWidth="1"/>
    <col min="13573" max="13573" width="11.85546875" style="248" customWidth="1"/>
    <col min="13574" max="13574" width="9.140625" style="248"/>
    <col min="13575" max="13575" width="11" style="248" customWidth="1"/>
    <col min="13576" max="13576" width="9.28515625" style="248" bestFit="1" customWidth="1"/>
    <col min="13577" max="13577" width="13" style="248" customWidth="1"/>
    <col min="13578" max="13580" width="9.42578125" style="248" bestFit="1" customWidth="1"/>
    <col min="13581" max="13583" width="10.140625" style="248" bestFit="1" customWidth="1"/>
    <col min="13584" max="13584" width="9.28515625" style="248" bestFit="1" customWidth="1"/>
    <col min="13585" max="13585" width="1.140625" style="248" customWidth="1"/>
    <col min="13586" max="13586" width="9.42578125" style="248" bestFit="1" customWidth="1"/>
    <col min="13587" max="13587" width="9.28515625" style="248" bestFit="1" customWidth="1"/>
    <col min="13588" max="13825" width="9.140625" style="248"/>
    <col min="13826" max="13826" width="13.5703125" style="248" customWidth="1"/>
    <col min="13827" max="13827" width="14.85546875" style="248" customWidth="1"/>
    <col min="13828" max="13828" width="0" style="248" hidden="1" customWidth="1"/>
    <col min="13829" max="13829" width="11.85546875" style="248" customWidth="1"/>
    <col min="13830" max="13830" width="9.140625" style="248"/>
    <col min="13831" max="13831" width="11" style="248" customWidth="1"/>
    <col min="13832" max="13832" width="9.28515625" style="248" bestFit="1" customWidth="1"/>
    <col min="13833" max="13833" width="13" style="248" customWidth="1"/>
    <col min="13834" max="13836" width="9.42578125" style="248" bestFit="1" customWidth="1"/>
    <col min="13837" max="13839" width="10.140625" style="248" bestFit="1" customWidth="1"/>
    <col min="13840" max="13840" width="9.28515625" style="248" bestFit="1" customWidth="1"/>
    <col min="13841" max="13841" width="1.140625" style="248" customWidth="1"/>
    <col min="13842" max="13842" width="9.42578125" style="248" bestFit="1" customWidth="1"/>
    <col min="13843" max="13843" width="9.28515625" style="248" bestFit="1" customWidth="1"/>
    <col min="13844" max="14081" width="9.140625" style="248"/>
    <col min="14082" max="14082" width="13.5703125" style="248" customWidth="1"/>
    <col min="14083" max="14083" width="14.85546875" style="248" customWidth="1"/>
    <col min="14084" max="14084" width="0" style="248" hidden="1" customWidth="1"/>
    <col min="14085" max="14085" width="11.85546875" style="248" customWidth="1"/>
    <col min="14086" max="14086" width="9.140625" style="248"/>
    <col min="14087" max="14087" width="11" style="248" customWidth="1"/>
    <col min="14088" max="14088" width="9.28515625" style="248" bestFit="1" customWidth="1"/>
    <col min="14089" max="14089" width="13" style="248" customWidth="1"/>
    <col min="14090" max="14092" width="9.42578125" style="248" bestFit="1" customWidth="1"/>
    <col min="14093" max="14095" width="10.140625" style="248" bestFit="1" customWidth="1"/>
    <col min="14096" max="14096" width="9.28515625" style="248" bestFit="1" customWidth="1"/>
    <col min="14097" max="14097" width="1.140625" style="248" customWidth="1"/>
    <col min="14098" max="14098" width="9.42578125" style="248" bestFit="1" customWidth="1"/>
    <col min="14099" max="14099" width="9.28515625" style="248" bestFit="1" customWidth="1"/>
    <col min="14100" max="14337" width="9.140625" style="248"/>
    <col min="14338" max="14338" width="13.5703125" style="248" customWidth="1"/>
    <col min="14339" max="14339" width="14.85546875" style="248" customWidth="1"/>
    <col min="14340" max="14340" width="0" style="248" hidden="1" customWidth="1"/>
    <col min="14341" max="14341" width="11.85546875" style="248" customWidth="1"/>
    <col min="14342" max="14342" width="9.140625" style="248"/>
    <col min="14343" max="14343" width="11" style="248" customWidth="1"/>
    <col min="14344" max="14344" width="9.28515625" style="248" bestFit="1" customWidth="1"/>
    <col min="14345" max="14345" width="13" style="248" customWidth="1"/>
    <col min="14346" max="14348" width="9.42578125" style="248" bestFit="1" customWidth="1"/>
    <col min="14349" max="14351" width="10.140625" style="248" bestFit="1" customWidth="1"/>
    <col min="14352" max="14352" width="9.28515625" style="248" bestFit="1" customWidth="1"/>
    <col min="14353" max="14353" width="1.140625" style="248" customWidth="1"/>
    <col min="14354" max="14354" width="9.42578125" style="248" bestFit="1" customWidth="1"/>
    <col min="14355" max="14355" width="9.28515625" style="248" bestFit="1" customWidth="1"/>
    <col min="14356" max="14593" width="9.140625" style="248"/>
    <col min="14594" max="14594" width="13.5703125" style="248" customWidth="1"/>
    <col min="14595" max="14595" width="14.85546875" style="248" customWidth="1"/>
    <col min="14596" max="14596" width="0" style="248" hidden="1" customWidth="1"/>
    <col min="14597" max="14597" width="11.85546875" style="248" customWidth="1"/>
    <col min="14598" max="14598" width="9.140625" style="248"/>
    <col min="14599" max="14599" width="11" style="248" customWidth="1"/>
    <col min="14600" max="14600" width="9.28515625" style="248" bestFit="1" customWidth="1"/>
    <col min="14601" max="14601" width="13" style="248" customWidth="1"/>
    <col min="14602" max="14604" width="9.42578125" style="248" bestFit="1" customWidth="1"/>
    <col min="14605" max="14607" width="10.140625" style="248" bestFit="1" customWidth="1"/>
    <col min="14608" max="14608" width="9.28515625" style="248" bestFit="1" customWidth="1"/>
    <col min="14609" max="14609" width="1.140625" style="248" customWidth="1"/>
    <col min="14610" max="14610" width="9.42578125" style="248" bestFit="1" customWidth="1"/>
    <col min="14611" max="14611" width="9.28515625" style="248" bestFit="1" customWidth="1"/>
    <col min="14612" max="14849" width="9.140625" style="248"/>
    <col min="14850" max="14850" width="13.5703125" style="248" customWidth="1"/>
    <col min="14851" max="14851" width="14.85546875" style="248" customWidth="1"/>
    <col min="14852" max="14852" width="0" style="248" hidden="1" customWidth="1"/>
    <col min="14853" max="14853" width="11.85546875" style="248" customWidth="1"/>
    <col min="14854" max="14854" width="9.140625" style="248"/>
    <col min="14855" max="14855" width="11" style="248" customWidth="1"/>
    <col min="14856" max="14856" width="9.28515625" style="248" bestFit="1" customWidth="1"/>
    <col min="14857" max="14857" width="13" style="248" customWidth="1"/>
    <col min="14858" max="14860" width="9.42578125" style="248" bestFit="1" customWidth="1"/>
    <col min="14861" max="14863" width="10.140625" style="248" bestFit="1" customWidth="1"/>
    <col min="14864" max="14864" width="9.28515625" style="248" bestFit="1" customWidth="1"/>
    <col min="14865" max="14865" width="1.140625" style="248" customWidth="1"/>
    <col min="14866" max="14866" width="9.42578125" style="248" bestFit="1" customWidth="1"/>
    <col min="14867" max="14867" width="9.28515625" style="248" bestFit="1" customWidth="1"/>
    <col min="14868" max="15105" width="9.140625" style="248"/>
    <col min="15106" max="15106" width="13.5703125" style="248" customWidth="1"/>
    <col min="15107" max="15107" width="14.85546875" style="248" customWidth="1"/>
    <col min="15108" max="15108" width="0" style="248" hidden="1" customWidth="1"/>
    <col min="15109" max="15109" width="11.85546875" style="248" customWidth="1"/>
    <col min="15110" max="15110" width="9.140625" style="248"/>
    <col min="15111" max="15111" width="11" style="248" customWidth="1"/>
    <col min="15112" max="15112" width="9.28515625" style="248" bestFit="1" customWidth="1"/>
    <col min="15113" max="15113" width="13" style="248" customWidth="1"/>
    <col min="15114" max="15116" width="9.42578125" style="248" bestFit="1" customWidth="1"/>
    <col min="15117" max="15119" width="10.140625" style="248" bestFit="1" customWidth="1"/>
    <col min="15120" max="15120" width="9.28515625" style="248" bestFit="1" customWidth="1"/>
    <col min="15121" max="15121" width="1.140625" style="248" customWidth="1"/>
    <col min="15122" max="15122" width="9.42578125" style="248" bestFit="1" customWidth="1"/>
    <col min="15123" max="15123" width="9.28515625" style="248" bestFit="1" customWidth="1"/>
    <col min="15124" max="15361" width="9.140625" style="248"/>
    <col min="15362" max="15362" width="13.5703125" style="248" customWidth="1"/>
    <col min="15363" max="15363" width="14.85546875" style="248" customWidth="1"/>
    <col min="15364" max="15364" width="0" style="248" hidden="1" customWidth="1"/>
    <col min="15365" max="15365" width="11.85546875" style="248" customWidth="1"/>
    <col min="15366" max="15366" width="9.140625" style="248"/>
    <col min="15367" max="15367" width="11" style="248" customWidth="1"/>
    <col min="15368" max="15368" width="9.28515625" style="248" bestFit="1" customWidth="1"/>
    <col min="15369" max="15369" width="13" style="248" customWidth="1"/>
    <col min="15370" max="15372" width="9.42578125" style="248" bestFit="1" customWidth="1"/>
    <col min="15373" max="15375" width="10.140625" style="248" bestFit="1" customWidth="1"/>
    <col min="15376" max="15376" width="9.28515625" style="248" bestFit="1" customWidth="1"/>
    <col min="15377" max="15377" width="1.140625" style="248" customWidth="1"/>
    <col min="15378" max="15378" width="9.42578125" style="248" bestFit="1" customWidth="1"/>
    <col min="15379" max="15379" width="9.28515625" style="248" bestFit="1" customWidth="1"/>
    <col min="15380" max="15617" width="9.140625" style="248"/>
    <col min="15618" max="15618" width="13.5703125" style="248" customWidth="1"/>
    <col min="15619" max="15619" width="14.85546875" style="248" customWidth="1"/>
    <col min="15620" max="15620" width="0" style="248" hidden="1" customWidth="1"/>
    <col min="15621" max="15621" width="11.85546875" style="248" customWidth="1"/>
    <col min="15622" max="15622" width="9.140625" style="248"/>
    <col min="15623" max="15623" width="11" style="248" customWidth="1"/>
    <col min="15624" max="15624" width="9.28515625" style="248" bestFit="1" customWidth="1"/>
    <col min="15625" max="15625" width="13" style="248" customWidth="1"/>
    <col min="15626" max="15628" width="9.42578125" style="248" bestFit="1" customWidth="1"/>
    <col min="15629" max="15631" width="10.140625" style="248" bestFit="1" customWidth="1"/>
    <col min="15632" max="15632" width="9.28515625" style="248" bestFit="1" customWidth="1"/>
    <col min="15633" max="15633" width="1.140625" style="248" customWidth="1"/>
    <col min="15634" max="15634" width="9.42578125" style="248" bestFit="1" customWidth="1"/>
    <col min="15635" max="15635" width="9.28515625" style="248" bestFit="1" customWidth="1"/>
    <col min="15636" max="15873" width="9.140625" style="248"/>
    <col min="15874" max="15874" width="13.5703125" style="248" customWidth="1"/>
    <col min="15875" max="15875" width="14.85546875" style="248" customWidth="1"/>
    <col min="15876" max="15876" width="0" style="248" hidden="1" customWidth="1"/>
    <col min="15877" max="15877" width="11.85546875" style="248" customWidth="1"/>
    <col min="15878" max="15878" width="9.140625" style="248"/>
    <col min="15879" max="15879" width="11" style="248" customWidth="1"/>
    <col min="15880" max="15880" width="9.28515625" style="248" bestFit="1" customWidth="1"/>
    <col min="15881" max="15881" width="13" style="248" customWidth="1"/>
    <col min="15882" max="15884" width="9.42578125" style="248" bestFit="1" customWidth="1"/>
    <col min="15885" max="15887" width="10.140625" style="248" bestFit="1" customWidth="1"/>
    <col min="15888" max="15888" width="9.28515625" style="248" bestFit="1" customWidth="1"/>
    <col min="15889" max="15889" width="1.140625" style="248" customWidth="1"/>
    <col min="15890" max="15890" width="9.42578125" style="248" bestFit="1" customWidth="1"/>
    <col min="15891" max="15891" width="9.28515625" style="248" bestFit="1" customWidth="1"/>
    <col min="15892" max="16129" width="9.140625" style="248"/>
    <col min="16130" max="16130" width="13.5703125" style="248" customWidth="1"/>
    <col min="16131" max="16131" width="14.85546875" style="248" customWidth="1"/>
    <col min="16132" max="16132" width="0" style="248" hidden="1" customWidth="1"/>
    <col min="16133" max="16133" width="11.85546875" style="248" customWidth="1"/>
    <col min="16134" max="16134" width="9.140625" style="248"/>
    <col min="16135" max="16135" width="11" style="248" customWidth="1"/>
    <col min="16136" max="16136" width="9.28515625" style="248" bestFit="1" customWidth="1"/>
    <col min="16137" max="16137" width="13" style="248" customWidth="1"/>
    <col min="16138" max="16140" width="9.42578125" style="248" bestFit="1" customWidth="1"/>
    <col min="16141" max="16143" width="10.140625" style="248" bestFit="1" customWidth="1"/>
    <col min="16144" max="16144" width="9.28515625" style="248" bestFit="1" customWidth="1"/>
    <col min="16145" max="16145" width="1.140625" style="248" customWidth="1"/>
    <col min="16146" max="16146" width="9.42578125" style="248" bestFit="1" customWidth="1"/>
    <col min="16147" max="16147" width="9.28515625" style="248" bestFit="1" customWidth="1"/>
    <col min="16148" max="16384" width="9.140625" style="248"/>
  </cols>
  <sheetData>
    <row r="1" spans="1:18" ht="15.75">
      <c r="A1" s="24"/>
      <c r="B1" s="24"/>
      <c r="C1" s="24"/>
      <c r="D1" s="79" t="s">
        <v>270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5.75">
      <c r="A2" s="24"/>
      <c r="B2" s="24"/>
      <c r="C2" s="24"/>
      <c r="D2" s="24"/>
      <c r="E2" s="24"/>
      <c r="F2" s="79" t="s">
        <v>271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>
      <c r="A3" s="462" t="s">
        <v>585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22.5">
      <c r="A4" s="25" t="s">
        <v>272</v>
      </c>
      <c r="B4" s="25"/>
      <c r="C4" s="33" t="s">
        <v>273</v>
      </c>
      <c r="D4" s="33"/>
      <c r="E4" s="33"/>
      <c r="G4" s="25" t="s">
        <v>274</v>
      </c>
      <c r="H4" s="31"/>
      <c r="I4" s="80">
        <v>10</v>
      </c>
      <c r="J4" s="81"/>
      <c r="K4" s="82" t="s">
        <v>275</v>
      </c>
      <c r="L4" s="32">
        <v>5000</v>
      </c>
      <c r="M4" s="83" t="s">
        <v>276</v>
      </c>
      <c r="N4" s="32" t="s">
        <v>277</v>
      </c>
      <c r="O4" s="258"/>
      <c r="R4" s="24"/>
    </row>
    <row r="5" spans="1:18">
      <c r="A5" s="25"/>
      <c r="B5" s="25"/>
      <c r="C5" s="25"/>
      <c r="D5" s="25"/>
      <c r="E5" s="25"/>
      <c r="F5" s="24"/>
      <c r="G5" s="24"/>
      <c r="H5" s="24"/>
      <c r="I5" s="25"/>
      <c r="J5" s="25"/>
      <c r="K5" s="25"/>
      <c r="L5" s="24"/>
      <c r="M5" s="24"/>
      <c r="N5" s="24"/>
      <c r="O5" s="24"/>
      <c r="P5" s="24"/>
      <c r="Q5" s="24"/>
      <c r="R5" s="24"/>
    </row>
    <row r="6" spans="1:18">
      <c r="A6" s="25" t="s">
        <v>278</v>
      </c>
      <c r="B6" s="25"/>
      <c r="C6" s="25"/>
      <c r="D6" s="25"/>
      <c r="E6" s="33" t="s">
        <v>279</v>
      </c>
      <c r="F6" s="33"/>
      <c r="G6" s="33"/>
      <c r="H6" s="720" t="s">
        <v>280</v>
      </c>
      <c r="I6" s="721"/>
      <c r="J6" s="80" t="s">
        <v>279</v>
      </c>
      <c r="K6" s="84"/>
      <c r="L6" s="81"/>
      <c r="N6" s="24"/>
      <c r="O6" s="24"/>
      <c r="P6" s="24"/>
      <c r="Q6" s="24"/>
      <c r="R6" s="24"/>
    </row>
    <row r="7" spans="1:18">
      <c r="A7" s="25"/>
      <c r="B7" s="25"/>
      <c r="C7" s="25"/>
      <c r="D7" s="25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722" t="s">
        <v>281</v>
      </c>
      <c r="B8" s="722"/>
      <c r="C8" s="722"/>
      <c r="D8" s="25"/>
      <c r="E8" s="723" t="s">
        <v>282</v>
      </c>
      <c r="F8" s="724"/>
      <c r="G8" s="724"/>
      <c r="H8" s="725"/>
      <c r="I8" s="24"/>
      <c r="J8" s="732" t="s">
        <v>283</v>
      </c>
      <c r="K8" s="733"/>
      <c r="L8" s="733"/>
      <c r="M8" s="734"/>
      <c r="N8" s="24"/>
      <c r="O8" s="24"/>
      <c r="P8" s="24"/>
      <c r="Q8" s="24"/>
      <c r="R8" s="24"/>
    </row>
    <row r="9" spans="1:18">
      <c r="A9" s="24"/>
      <c r="B9" s="24"/>
      <c r="C9" s="24"/>
      <c r="D9" s="24"/>
      <c r="E9" s="726"/>
      <c r="F9" s="727"/>
      <c r="G9" s="727"/>
      <c r="H9" s="728"/>
      <c r="I9" s="24"/>
      <c r="J9" s="735"/>
      <c r="K9" s="736"/>
      <c r="L9" s="736"/>
      <c r="M9" s="737"/>
      <c r="N9" s="24"/>
      <c r="O9" s="24"/>
      <c r="P9" s="24"/>
      <c r="Q9" s="24"/>
      <c r="R9" s="24"/>
    </row>
    <row r="10" spans="1:18">
      <c r="A10" s="24"/>
      <c r="B10" s="24"/>
      <c r="C10" s="24"/>
      <c r="D10" s="24"/>
      <c r="E10" s="726"/>
      <c r="F10" s="727"/>
      <c r="G10" s="727"/>
      <c r="H10" s="728"/>
      <c r="I10" s="24"/>
      <c r="J10" s="735"/>
      <c r="K10" s="736"/>
      <c r="L10" s="736"/>
      <c r="M10" s="737"/>
      <c r="N10" s="24"/>
      <c r="O10" s="24"/>
      <c r="P10" s="24"/>
      <c r="Q10" s="24"/>
      <c r="R10" s="24"/>
    </row>
    <row r="11" spans="1:18">
      <c r="A11" s="24"/>
      <c r="B11" s="24"/>
      <c r="C11" s="24"/>
      <c r="D11" s="24"/>
      <c r="E11" s="726"/>
      <c r="F11" s="727"/>
      <c r="G11" s="727"/>
      <c r="H11" s="728"/>
      <c r="I11" s="24"/>
      <c r="J11" s="735"/>
      <c r="K11" s="736"/>
      <c r="L11" s="736"/>
      <c r="M11" s="737"/>
      <c r="N11" s="24"/>
      <c r="O11" s="24"/>
      <c r="P11" s="24"/>
      <c r="Q11" s="24"/>
      <c r="R11" s="24"/>
    </row>
    <row r="12" spans="1:18">
      <c r="A12" s="24"/>
      <c r="B12" s="24"/>
      <c r="C12" s="24"/>
      <c r="D12" s="24"/>
      <c r="E12" s="729"/>
      <c r="F12" s="730"/>
      <c r="G12" s="730"/>
      <c r="H12" s="731"/>
      <c r="I12" s="24"/>
      <c r="J12" s="738"/>
      <c r="K12" s="739"/>
      <c r="L12" s="739"/>
      <c r="M12" s="740"/>
      <c r="N12" s="24"/>
      <c r="O12" s="24"/>
      <c r="P12" s="24"/>
      <c r="Q12" s="24"/>
      <c r="R12" s="24"/>
    </row>
    <row r="13" spans="1:18" ht="15.75" thickBo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 ht="15.75" thickBot="1">
      <c r="A14" s="25" t="s">
        <v>284</v>
      </c>
      <c r="B14" s="24"/>
      <c r="C14" s="408">
        <v>16</v>
      </c>
      <c r="D14" s="409">
        <v>17</v>
      </c>
      <c r="E14" s="25" t="s">
        <v>285</v>
      </c>
      <c r="F14" s="24"/>
      <c r="G14" s="24"/>
      <c r="H14" s="32">
        <v>12</v>
      </c>
      <c r="I14" s="25" t="s">
        <v>163</v>
      </c>
      <c r="J14" s="26">
        <v>83</v>
      </c>
      <c r="K14" s="372" t="s">
        <v>286</v>
      </c>
      <c r="L14" s="26">
        <v>13</v>
      </c>
      <c r="M14" s="25" t="s">
        <v>158</v>
      </c>
      <c r="N14" s="373">
        <v>107</v>
      </c>
      <c r="O14" s="24"/>
      <c r="P14" s="24"/>
      <c r="Q14" s="24"/>
      <c r="R14" s="24"/>
    </row>
    <row r="15" spans="1:18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>
      <c r="A16" s="25" t="s">
        <v>39</v>
      </c>
      <c r="B16" s="24"/>
      <c r="C16" s="25" t="s">
        <v>40</v>
      </c>
      <c r="D16" s="741">
        <v>1007</v>
      </c>
      <c r="E16" s="741"/>
      <c r="F16" s="24" t="s">
        <v>41</v>
      </c>
      <c r="G16" s="373"/>
      <c r="H16" s="25" t="s">
        <v>80</v>
      </c>
      <c r="I16" s="85">
        <v>2</v>
      </c>
      <c r="J16" s="25" t="s">
        <v>64</v>
      </c>
      <c r="K16" s="26"/>
      <c r="L16" s="25" t="s">
        <v>43</v>
      </c>
      <c r="M16" s="26">
        <v>134</v>
      </c>
      <c r="N16" s="720" t="s">
        <v>156</v>
      </c>
      <c r="O16" s="721"/>
      <c r="P16" s="26">
        <v>240</v>
      </c>
      <c r="Q16" s="24"/>
      <c r="R16" s="24"/>
    </row>
    <row r="17" spans="1:1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9">
      <c r="A18" s="25" t="s">
        <v>45</v>
      </c>
      <c r="B18" s="24"/>
      <c r="C18" s="82" t="s">
        <v>46</v>
      </c>
      <c r="D18" s="32">
        <v>2620</v>
      </c>
      <c r="E18" s="25" t="s">
        <v>47</v>
      </c>
      <c r="F18" s="26"/>
      <c r="G18" s="25" t="s">
        <v>48</v>
      </c>
      <c r="H18" s="26">
        <v>4</v>
      </c>
      <c r="I18" s="25" t="s">
        <v>77</v>
      </c>
      <c r="J18" s="26">
        <v>2837</v>
      </c>
      <c r="K18" s="24"/>
      <c r="L18" s="24"/>
      <c r="M18" s="24"/>
      <c r="N18" s="24"/>
      <c r="O18" s="24"/>
      <c r="P18" s="24"/>
      <c r="Q18" s="24"/>
      <c r="R18" s="24"/>
    </row>
    <row r="19" spans="1:19" ht="35.25" customHeight="1">
      <c r="A19" s="24"/>
      <c r="B19" s="24"/>
      <c r="C19" s="372" t="s">
        <v>287</v>
      </c>
      <c r="D19" s="32">
        <v>3113</v>
      </c>
      <c r="E19" s="25" t="s">
        <v>50</v>
      </c>
      <c r="F19" s="32"/>
      <c r="G19" s="82" t="s">
        <v>51</v>
      </c>
      <c r="H19" s="32">
        <v>3</v>
      </c>
      <c r="I19" s="82" t="s">
        <v>288</v>
      </c>
      <c r="J19" s="32">
        <v>2849</v>
      </c>
      <c r="K19" s="24"/>
      <c r="L19" s="24"/>
      <c r="M19" s="24"/>
      <c r="N19" s="24"/>
      <c r="O19" s="24"/>
      <c r="P19" s="24"/>
      <c r="Q19" s="24"/>
      <c r="R19" s="24"/>
    </row>
    <row r="20" spans="1:1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9">
      <c r="A21" s="742" t="s">
        <v>53</v>
      </c>
      <c r="B21" s="742"/>
      <c r="C21" s="743" t="s">
        <v>54</v>
      </c>
      <c r="D21" s="743"/>
      <c r="E21" s="742" t="s">
        <v>55</v>
      </c>
      <c r="F21" s="744" t="s">
        <v>157</v>
      </c>
      <c r="G21" s="744"/>
      <c r="H21" s="744" t="s">
        <v>164</v>
      </c>
      <c r="I21" s="744"/>
      <c r="J21" s="715" t="s">
        <v>289</v>
      </c>
      <c r="K21" s="716"/>
      <c r="L21" s="716"/>
      <c r="M21" s="716"/>
      <c r="N21" s="716"/>
      <c r="O21" s="716"/>
      <c r="P21" s="716"/>
      <c r="Q21" s="717"/>
      <c r="R21" s="35"/>
      <c r="S21" s="253"/>
    </row>
    <row r="22" spans="1:19" ht="24.75">
      <c r="A22" s="742"/>
      <c r="B22" s="742"/>
      <c r="C22" s="743"/>
      <c r="D22" s="743"/>
      <c r="E22" s="742"/>
      <c r="F22" s="744"/>
      <c r="G22" s="744"/>
      <c r="H22" s="744"/>
      <c r="I22" s="744"/>
      <c r="J22" s="86" t="s">
        <v>290</v>
      </c>
      <c r="K22" s="86" t="s">
        <v>291</v>
      </c>
      <c r="L22" s="86" t="s">
        <v>292</v>
      </c>
      <c r="M22" s="86" t="s">
        <v>293</v>
      </c>
      <c r="N22" s="86" t="s">
        <v>294</v>
      </c>
      <c r="O22" s="86" t="s">
        <v>295</v>
      </c>
      <c r="P22" s="718" t="s">
        <v>296</v>
      </c>
      <c r="Q22" s="719"/>
      <c r="R22" s="35" t="s">
        <v>64</v>
      </c>
      <c r="S22" s="72" t="s">
        <v>112</v>
      </c>
    </row>
    <row r="23" spans="1:19" ht="33" customHeight="1">
      <c r="A23" s="713" t="s">
        <v>297</v>
      </c>
      <c r="B23" s="713"/>
      <c r="C23" s="714">
        <v>500</v>
      </c>
      <c r="D23" s="714"/>
      <c r="E23" s="87" t="s">
        <v>298</v>
      </c>
      <c r="F23" s="695">
        <f>+C23*L4/100000</f>
        <v>25</v>
      </c>
      <c r="G23" s="696"/>
      <c r="H23" s="705">
        <f>2362000/100000</f>
        <v>23.62</v>
      </c>
      <c r="I23" s="706"/>
      <c r="J23" s="29">
        <v>0</v>
      </c>
      <c r="K23" s="29">
        <f>457539/100000</f>
        <v>4.5753899999999996</v>
      </c>
      <c r="L23" s="29">
        <f>4.49737+0.40288</f>
        <v>4.9002499999999998</v>
      </c>
      <c r="M23" s="29">
        <f>659284/100000</f>
        <v>6.5928399999999998</v>
      </c>
      <c r="N23" s="29">
        <f>568152/100000</f>
        <v>5.6815199999999999</v>
      </c>
      <c r="O23" s="29">
        <f>183450/100000</f>
        <v>1.8345</v>
      </c>
      <c r="P23" s="703">
        <v>0</v>
      </c>
      <c r="Q23" s="704"/>
      <c r="R23" s="15">
        <f t="shared" ref="R23:R30" si="0">SUM(J23:Q23)</f>
        <v>23.584499999999995</v>
      </c>
      <c r="S23" s="88">
        <f>+R23*100/H23</f>
        <v>99.849703640982185</v>
      </c>
    </row>
    <row r="24" spans="1:19" ht="33.75" customHeight="1">
      <c r="A24" s="713" t="s">
        <v>299</v>
      </c>
      <c r="B24" s="713"/>
      <c r="C24" s="714">
        <v>360</v>
      </c>
      <c r="D24" s="714"/>
      <c r="E24" s="13" t="s">
        <v>300</v>
      </c>
      <c r="F24" s="695">
        <f>+C24*L4/100000</f>
        <v>18</v>
      </c>
      <c r="G24" s="696"/>
      <c r="H24" s="705">
        <f>1800000/100000</f>
        <v>18</v>
      </c>
      <c r="I24" s="706"/>
      <c r="J24" s="29">
        <v>0</v>
      </c>
      <c r="K24" s="29">
        <v>0</v>
      </c>
      <c r="L24" s="29">
        <v>0</v>
      </c>
      <c r="M24" s="29">
        <f>142703/100000</f>
        <v>1.42703</v>
      </c>
      <c r="N24" s="29">
        <f>1377030/100000</f>
        <v>13.770300000000001</v>
      </c>
      <c r="O24" s="29">
        <f>277167/100000</f>
        <v>2.7716699999999999</v>
      </c>
      <c r="P24" s="703">
        <v>0</v>
      </c>
      <c r="Q24" s="704"/>
      <c r="R24" s="15">
        <f t="shared" si="0"/>
        <v>17.969000000000001</v>
      </c>
      <c r="S24" s="88">
        <f t="shared" ref="S24:S29" si="1">+R24*100/H24</f>
        <v>99.827777777777783</v>
      </c>
    </row>
    <row r="25" spans="1:19" ht="28.5" customHeight="1">
      <c r="A25" s="713" t="s">
        <v>301</v>
      </c>
      <c r="B25" s="713"/>
      <c r="C25" s="714">
        <v>8.4</v>
      </c>
      <c r="D25" s="714"/>
      <c r="E25" s="89" t="s">
        <v>302</v>
      </c>
      <c r="F25" s="695">
        <f>19.112+4.5</f>
        <v>23.611999999999998</v>
      </c>
      <c r="G25" s="696"/>
      <c r="H25" s="697">
        <v>19.111999999999998</v>
      </c>
      <c r="I25" s="698"/>
      <c r="J25" s="30">
        <v>0.63</v>
      </c>
      <c r="K25" s="30">
        <f>2.275+0.133</f>
        <v>2.4079999999999999</v>
      </c>
      <c r="L25" s="30">
        <f>2.137</f>
        <v>2.137</v>
      </c>
      <c r="M25" s="30">
        <f>5.79</f>
        <v>5.79</v>
      </c>
      <c r="N25" s="30">
        <v>3.6</v>
      </c>
      <c r="O25" s="30">
        <v>3.6</v>
      </c>
      <c r="P25" s="707">
        <f>1.212+1.4</f>
        <v>2.6120000000000001</v>
      </c>
      <c r="Q25" s="708"/>
      <c r="R25" s="15">
        <f t="shared" si="0"/>
        <v>20.777000000000001</v>
      </c>
      <c r="S25" s="10">
        <f t="shared" si="1"/>
        <v>108.71180410213481</v>
      </c>
    </row>
    <row r="26" spans="1:19" ht="30" customHeight="1">
      <c r="A26" s="713" t="s">
        <v>303</v>
      </c>
      <c r="B26" s="713"/>
      <c r="C26" s="714">
        <v>0.84</v>
      </c>
      <c r="D26" s="714"/>
      <c r="E26" s="89" t="s">
        <v>302</v>
      </c>
      <c r="F26" s="695">
        <f>6.609+0.36</f>
        <v>6.9690000000000003</v>
      </c>
      <c r="G26" s="696"/>
      <c r="H26" s="697">
        <v>6.609</v>
      </c>
      <c r="I26" s="698"/>
      <c r="J26" s="30">
        <v>7.6999999999999999E-2</v>
      </c>
      <c r="K26" s="30">
        <f>0.273+0.0312</f>
        <v>0.30420000000000003</v>
      </c>
      <c r="L26" s="30">
        <v>0.29699999999999999</v>
      </c>
      <c r="M26" s="29">
        <f>0.317-0.2</f>
        <v>0.11699999999999999</v>
      </c>
      <c r="N26" s="30">
        <v>1.44</v>
      </c>
      <c r="O26" s="30">
        <v>1.44</v>
      </c>
      <c r="P26" s="707">
        <f>0.32+0.18+0.243+0.121</f>
        <v>0.86399999999999999</v>
      </c>
      <c r="Q26" s="708"/>
      <c r="R26" s="15">
        <f t="shared" si="0"/>
        <v>4.5392000000000001</v>
      </c>
      <c r="S26" s="88">
        <f t="shared" si="1"/>
        <v>68.68210016643971</v>
      </c>
    </row>
    <row r="27" spans="1:19" ht="25.5" customHeight="1">
      <c r="A27" s="713" t="s">
        <v>304</v>
      </c>
      <c r="B27" s="713"/>
      <c r="C27" s="714">
        <v>3.6</v>
      </c>
      <c r="D27" s="714"/>
      <c r="E27" s="89" t="s">
        <v>302</v>
      </c>
      <c r="F27" s="703">
        <f>9.6+2.7+2.4</f>
        <v>14.700000000000001</v>
      </c>
      <c r="G27" s="704"/>
      <c r="H27" s="705">
        <f>9.6+2.4</f>
        <v>12</v>
      </c>
      <c r="I27" s="706"/>
      <c r="J27" s="30">
        <v>7.1999999999999995E-2</v>
      </c>
      <c r="K27" s="29">
        <v>0</v>
      </c>
      <c r="L27" s="30">
        <f>1.85</f>
        <v>1.85</v>
      </c>
      <c r="M27" s="30">
        <v>2.77</v>
      </c>
      <c r="N27" s="30">
        <v>2.4</v>
      </c>
      <c r="O27" s="30">
        <v>2.4</v>
      </c>
      <c r="P27" s="707">
        <v>2.4</v>
      </c>
      <c r="Q27" s="708"/>
      <c r="R27" s="15">
        <f t="shared" si="0"/>
        <v>11.892000000000001</v>
      </c>
      <c r="S27" s="18">
        <f t="shared" si="1"/>
        <v>99.100000000000009</v>
      </c>
    </row>
    <row r="28" spans="1:19" ht="29.25" customHeight="1">
      <c r="A28" s="713" t="s">
        <v>305</v>
      </c>
      <c r="B28" s="713"/>
      <c r="C28" s="714">
        <v>0.24</v>
      </c>
      <c r="D28" s="714"/>
      <c r="E28" s="89" t="s">
        <v>302</v>
      </c>
      <c r="F28" s="703">
        <f>0.98+0.18</f>
        <v>1.1599999999999999</v>
      </c>
      <c r="G28" s="704"/>
      <c r="H28" s="705">
        <v>0.98</v>
      </c>
      <c r="I28" s="706"/>
      <c r="J28" s="30">
        <v>0</v>
      </c>
      <c r="K28" s="29">
        <v>0</v>
      </c>
      <c r="L28" s="30">
        <v>0</v>
      </c>
      <c r="M28" s="30">
        <v>0.26</v>
      </c>
      <c r="N28" s="30">
        <v>0.24</v>
      </c>
      <c r="O28" s="30">
        <v>0.24</v>
      </c>
      <c r="P28" s="707">
        <v>0.24</v>
      </c>
      <c r="Q28" s="708"/>
      <c r="R28" s="15">
        <f t="shared" si="0"/>
        <v>0.98</v>
      </c>
      <c r="S28" s="18">
        <f t="shared" si="1"/>
        <v>100</v>
      </c>
    </row>
    <row r="29" spans="1:19" ht="24" customHeight="1">
      <c r="A29" s="699" t="s">
        <v>306</v>
      </c>
      <c r="B29" s="700"/>
      <c r="C29" s="701">
        <v>0.36</v>
      </c>
      <c r="D29" s="702"/>
      <c r="E29" s="89" t="s">
        <v>302</v>
      </c>
      <c r="F29" s="703">
        <f>1.47+0.27</f>
        <v>1.74</v>
      </c>
      <c r="G29" s="704"/>
      <c r="H29" s="705">
        <v>1.47</v>
      </c>
      <c r="I29" s="706"/>
      <c r="J29" s="90">
        <v>7.1999999999999995E-2</v>
      </c>
      <c r="K29" s="90">
        <f>0.17+0.032</f>
        <v>0.20200000000000001</v>
      </c>
      <c r="L29" s="90">
        <v>0.35</v>
      </c>
      <c r="M29" s="90">
        <v>0.27700000000000002</v>
      </c>
      <c r="N29" s="30">
        <v>0.36</v>
      </c>
      <c r="O29" s="90">
        <v>0.36</v>
      </c>
      <c r="P29" s="707">
        <v>0.36</v>
      </c>
      <c r="Q29" s="708"/>
      <c r="R29" s="15">
        <f t="shared" si="0"/>
        <v>1.9809999999999999</v>
      </c>
      <c r="S29" s="18">
        <f t="shared" si="1"/>
        <v>134.76190476190476</v>
      </c>
    </row>
    <row r="30" spans="1:19" ht="22.5" customHeight="1">
      <c r="A30" s="709" t="s">
        <v>307</v>
      </c>
      <c r="B30" s="709"/>
      <c r="C30" s="710">
        <v>0.2</v>
      </c>
      <c r="D30" s="710"/>
      <c r="E30" s="91" t="s">
        <v>68</v>
      </c>
      <c r="F30" s="711">
        <v>0.2</v>
      </c>
      <c r="G30" s="712"/>
      <c r="H30" s="705">
        <v>0.2</v>
      </c>
      <c r="I30" s="706"/>
      <c r="J30" s="92"/>
      <c r="K30" s="92"/>
      <c r="L30" s="92"/>
      <c r="M30" s="92">
        <v>0.2</v>
      </c>
      <c r="N30" s="92"/>
      <c r="O30" s="92"/>
      <c r="P30" s="711"/>
      <c r="Q30" s="712"/>
      <c r="R30" s="15">
        <f t="shared" si="0"/>
        <v>0.2</v>
      </c>
      <c r="S30" s="18">
        <f>+R30*100/H30</f>
        <v>100</v>
      </c>
    </row>
    <row r="31" spans="1:19">
      <c r="A31" s="692" t="s">
        <v>64</v>
      </c>
      <c r="B31" s="692"/>
      <c r="C31" s="693"/>
      <c r="D31" s="694"/>
      <c r="E31" s="8"/>
      <c r="F31" s="695">
        <f>SUM(F23:F30)</f>
        <v>91.380999999999986</v>
      </c>
      <c r="G31" s="696"/>
      <c r="H31" s="697">
        <f>SUM(H23:H30)</f>
        <v>81.991</v>
      </c>
      <c r="I31" s="698"/>
      <c r="J31" s="30">
        <f t="shared" ref="J31:P31" si="2">SUM(J23:J30)</f>
        <v>0.85099999999999987</v>
      </c>
      <c r="K31" s="30">
        <f t="shared" si="2"/>
        <v>7.4895899999999997</v>
      </c>
      <c r="L31" s="30">
        <f t="shared" si="2"/>
        <v>9.5342500000000001</v>
      </c>
      <c r="M31" s="30">
        <f t="shared" si="2"/>
        <v>17.433870000000002</v>
      </c>
      <c r="N31" s="30">
        <f t="shared" si="2"/>
        <v>27.491820000000001</v>
      </c>
      <c r="O31" s="30">
        <f t="shared" si="2"/>
        <v>12.64617</v>
      </c>
      <c r="P31" s="695">
        <f t="shared" si="2"/>
        <v>6.476</v>
      </c>
      <c r="Q31" s="696"/>
      <c r="R31" s="14">
        <f>SUM(R23:R30)</f>
        <v>81.922699999999992</v>
      </c>
      <c r="S31" s="19">
        <f>+R31*100/H31</f>
        <v>99.916698174189833</v>
      </c>
    </row>
  </sheetData>
  <mergeCells count="58">
    <mergeCell ref="J21:Q21"/>
    <mergeCell ref="P22:Q22"/>
    <mergeCell ref="H6:I6"/>
    <mergeCell ref="A8:C8"/>
    <mergeCell ref="E8:H12"/>
    <mergeCell ref="J8:M12"/>
    <mergeCell ref="D16:E16"/>
    <mergeCell ref="N16:O16"/>
    <mergeCell ref="A21:B22"/>
    <mergeCell ref="C21:D22"/>
    <mergeCell ref="E21:E22"/>
    <mergeCell ref="F21:G22"/>
    <mergeCell ref="H21:I22"/>
    <mergeCell ref="A24:B24"/>
    <mergeCell ref="C24:D24"/>
    <mergeCell ref="F24:G24"/>
    <mergeCell ref="H24:I24"/>
    <mergeCell ref="P24:Q24"/>
    <mergeCell ref="A23:B23"/>
    <mergeCell ref="C23:D23"/>
    <mergeCell ref="F23:G23"/>
    <mergeCell ref="H23:I23"/>
    <mergeCell ref="P23:Q23"/>
    <mergeCell ref="A26:B26"/>
    <mergeCell ref="C26:D26"/>
    <mergeCell ref="F26:G26"/>
    <mergeCell ref="H26:I26"/>
    <mergeCell ref="P26:Q26"/>
    <mergeCell ref="A25:B25"/>
    <mergeCell ref="C25:D25"/>
    <mergeCell ref="F25:G25"/>
    <mergeCell ref="H25:I25"/>
    <mergeCell ref="P25:Q25"/>
    <mergeCell ref="A28:B28"/>
    <mergeCell ref="C28:D28"/>
    <mergeCell ref="F28:G28"/>
    <mergeCell ref="H28:I28"/>
    <mergeCell ref="P28:Q28"/>
    <mergeCell ref="A27:B27"/>
    <mergeCell ref="C27:D27"/>
    <mergeCell ref="F27:G27"/>
    <mergeCell ref="H27:I27"/>
    <mergeCell ref="P27:Q27"/>
    <mergeCell ref="A30:B30"/>
    <mergeCell ref="C30:D30"/>
    <mergeCell ref="F30:G30"/>
    <mergeCell ref="H30:I30"/>
    <mergeCell ref="P30:Q30"/>
    <mergeCell ref="A29:B29"/>
    <mergeCell ref="C29:D29"/>
    <mergeCell ref="F29:G29"/>
    <mergeCell ref="H29:I29"/>
    <mergeCell ref="P29:Q29"/>
    <mergeCell ref="A31:B31"/>
    <mergeCell ref="C31:D31"/>
    <mergeCell ref="F31:G31"/>
    <mergeCell ref="H31:I31"/>
    <mergeCell ref="P31:Q31"/>
  </mergeCells>
  <hyperlinks>
    <hyperlink ref="A3" location="'Fact Sheet of VDC'!A1" display="&lt;&lt;Back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workbookViewId="0">
      <selection activeCell="A4" sqref="A4"/>
    </sheetView>
  </sheetViews>
  <sheetFormatPr defaultRowHeight="12.75"/>
  <cols>
    <col min="1" max="1" width="36.42578125" style="375" customWidth="1"/>
    <col min="2" max="2" width="11.28515625" style="221" customWidth="1"/>
    <col min="3" max="3" width="17" style="221" customWidth="1"/>
    <col min="4" max="4" width="19.140625" style="221" customWidth="1"/>
    <col min="5" max="5" width="12.7109375" style="221" bestFit="1" customWidth="1"/>
    <col min="6" max="6" width="13.7109375" style="221" bestFit="1" customWidth="1"/>
    <col min="7" max="7" width="10.85546875" style="221" bestFit="1" customWidth="1"/>
    <col min="8" max="8" width="12.5703125" style="221" bestFit="1" customWidth="1"/>
    <col min="9" max="9" width="10.85546875" style="221" bestFit="1" customWidth="1"/>
    <col min="10" max="10" width="8.140625" style="221" customWidth="1"/>
    <col min="11" max="11" width="8.85546875" style="221" customWidth="1"/>
    <col min="12" max="12" width="11.28515625" style="221" customWidth="1"/>
    <col min="13" max="13" width="14.42578125" style="222" customWidth="1"/>
    <col min="14" max="256" width="9.140625" style="221"/>
    <col min="257" max="257" width="36.42578125" style="221" customWidth="1"/>
    <col min="258" max="258" width="11.28515625" style="221" customWidth="1"/>
    <col min="259" max="259" width="17" style="221" customWidth="1"/>
    <col min="260" max="260" width="19.140625" style="221" customWidth="1"/>
    <col min="261" max="261" width="12.7109375" style="221" bestFit="1" customWidth="1"/>
    <col min="262" max="262" width="13.7109375" style="221" bestFit="1" customWidth="1"/>
    <col min="263" max="263" width="10.85546875" style="221" bestFit="1" customWidth="1"/>
    <col min="264" max="264" width="12.5703125" style="221" bestFit="1" customWidth="1"/>
    <col min="265" max="265" width="10.85546875" style="221" bestFit="1" customWidth="1"/>
    <col min="266" max="266" width="8.140625" style="221" customWidth="1"/>
    <col min="267" max="267" width="8.85546875" style="221" customWidth="1"/>
    <col min="268" max="268" width="11.28515625" style="221" customWidth="1"/>
    <col min="269" max="269" width="14.42578125" style="221" customWidth="1"/>
    <col min="270" max="512" width="9.140625" style="221"/>
    <col min="513" max="513" width="36.42578125" style="221" customWidth="1"/>
    <col min="514" max="514" width="11.28515625" style="221" customWidth="1"/>
    <col min="515" max="515" width="17" style="221" customWidth="1"/>
    <col min="516" max="516" width="19.140625" style="221" customWidth="1"/>
    <col min="517" max="517" width="12.7109375" style="221" bestFit="1" customWidth="1"/>
    <col min="518" max="518" width="13.7109375" style="221" bestFit="1" customWidth="1"/>
    <col min="519" max="519" width="10.85546875" style="221" bestFit="1" customWidth="1"/>
    <col min="520" max="520" width="12.5703125" style="221" bestFit="1" customWidth="1"/>
    <col min="521" max="521" width="10.85546875" style="221" bestFit="1" customWidth="1"/>
    <col min="522" max="522" width="8.140625" style="221" customWidth="1"/>
    <col min="523" max="523" width="8.85546875" style="221" customWidth="1"/>
    <col min="524" max="524" width="11.28515625" style="221" customWidth="1"/>
    <col min="525" max="525" width="14.42578125" style="221" customWidth="1"/>
    <col min="526" max="768" width="9.140625" style="221"/>
    <col min="769" max="769" width="36.42578125" style="221" customWidth="1"/>
    <col min="770" max="770" width="11.28515625" style="221" customWidth="1"/>
    <col min="771" max="771" width="17" style="221" customWidth="1"/>
    <col min="772" max="772" width="19.140625" style="221" customWidth="1"/>
    <col min="773" max="773" width="12.7109375" style="221" bestFit="1" customWidth="1"/>
    <col min="774" max="774" width="13.7109375" style="221" bestFit="1" customWidth="1"/>
    <col min="775" max="775" width="10.85546875" style="221" bestFit="1" customWidth="1"/>
    <col min="776" max="776" width="12.5703125" style="221" bestFit="1" customWidth="1"/>
    <col min="777" max="777" width="10.85546875" style="221" bestFit="1" customWidth="1"/>
    <col min="778" max="778" width="8.140625" style="221" customWidth="1"/>
    <col min="779" max="779" width="8.85546875" style="221" customWidth="1"/>
    <col min="780" max="780" width="11.28515625" style="221" customWidth="1"/>
    <col min="781" max="781" width="14.42578125" style="221" customWidth="1"/>
    <col min="782" max="1024" width="9.140625" style="221"/>
    <col min="1025" max="1025" width="36.42578125" style="221" customWidth="1"/>
    <col min="1026" max="1026" width="11.28515625" style="221" customWidth="1"/>
    <col min="1027" max="1027" width="17" style="221" customWidth="1"/>
    <col min="1028" max="1028" width="19.140625" style="221" customWidth="1"/>
    <col min="1029" max="1029" width="12.7109375" style="221" bestFit="1" customWidth="1"/>
    <col min="1030" max="1030" width="13.7109375" style="221" bestFit="1" customWidth="1"/>
    <col min="1031" max="1031" width="10.85546875" style="221" bestFit="1" customWidth="1"/>
    <col min="1032" max="1032" width="12.5703125" style="221" bestFit="1" customWidth="1"/>
    <col min="1033" max="1033" width="10.85546875" style="221" bestFit="1" customWidth="1"/>
    <col min="1034" max="1034" width="8.140625" style="221" customWidth="1"/>
    <col min="1035" max="1035" width="8.85546875" style="221" customWidth="1"/>
    <col min="1036" max="1036" width="11.28515625" style="221" customWidth="1"/>
    <col min="1037" max="1037" width="14.42578125" style="221" customWidth="1"/>
    <col min="1038" max="1280" width="9.140625" style="221"/>
    <col min="1281" max="1281" width="36.42578125" style="221" customWidth="1"/>
    <col min="1282" max="1282" width="11.28515625" style="221" customWidth="1"/>
    <col min="1283" max="1283" width="17" style="221" customWidth="1"/>
    <col min="1284" max="1284" width="19.140625" style="221" customWidth="1"/>
    <col min="1285" max="1285" width="12.7109375" style="221" bestFit="1" customWidth="1"/>
    <col min="1286" max="1286" width="13.7109375" style="221" bestFit="1" customWidth="1"/>
    <col min="1287" max="1287" width="10.85546875" style="221" bestFit="1" customWidth="1"/>
    <col min="1288" max="1288" width="12.5703125" style="221" bestFit="1" customWidth="1"/>
    <col min="1289" max="1289" width="10.85546875" style="221" bestFit="1" customWidth="1"/>
    <col min="1290" max="1290" width="8.140625" style="221" customWidth="1"/>
    <col min="1291" max="1291" width="8.85546875" style="221" customWidth="1"/>
    <col min="1292" max="1292" width="11.28515625" style="221" customWidth="1"/>
    <col min="1293" max="1293" width="14.42578125" style="221" customWidth="1"/>
    <col min="1294" max="1536" width="9.140625" style="221"/>
    <col min="1537" max="1537" width="36.42578125" style="221" customWidth="1"/>
    <col min="1538" max="1538" width="11.28515625" style="221" customWidth="1"/>
    <col min="1539" max="1539" width="17" style="221" customWidth="1"/>
    <col min="1540" max="1540" width="19.140625" style="221" customWidth="1"/>
    <col min="1541" max="1541" width="12.7109375" style="221" bestFit="1" customWidth="1"/>
    <col min="1542" max="1542" width="13.7109375" style="221" bestFit="1" customWidth="1"/>
    <col min="1543" max="1543" width="10.85546875" style="221" bestFit="1" customWidth="1"/>
    <col min="1544" max="1544" width="12.5703125" style="221" bestFit="1" customWidth="1"/>
    <col min="1545" max="1545" width="10.85546875" style="221" bestFit="1" customWidth="1"/>
    <col min="1546" max="1546" width="8.140625" style="221" customWidth="1"/>
    <col min="1547" max="1547" width="8.85546875" style="221" customWidth="1"/>
    <col min="1548" max="1548" width="11.28515625" style="221" customWidth="1"/>
    <col min="1549" max="1549" width="14.42578125" style="221" customWidth="1"/>
    <col min="1550" max="1792" width="9.140625" style="221"/>
    <col min="1793" max="1793" width="36.42578125" style="221" customWidth="1"/>
    <col min="1794" max="1794" width="11.28515625" style="221" customWidth="1"/>
    <col min="1795" max="1795" width="17" style="221" customWidth="1"/>
    <col min="1796" max="1796" width="19.140625" style="221" customWidth="1"/>
    <col min="1797" max="1797" width="12.7109375" style="221" bestFit="1" customWidth="1"/>
    <col min="1798" max="1798" width="13.7109375" style="221" bestFit="1" customWidth="1"/>
    <col min="1799" max="1799" width="10.85546875" style="221" bestFit="1" customWidth="1"/>
    <col min="1800" max="1800" width="12.5703125" style="221" bestFit="1" customWidth="1"/>
    <col min="1801" max="1801" width="10.85546875" style="221" bestFit="1" customWidth="1"/>
    <col min="1802" max="1802" width="8.140625" style="221" customWidth="1"/>
    <col min="1803" max="1803" width="8.85546875" style="221" customWidth="1"/>
    <col min="1804" max="1804" width="11.28515625" style="221" customWidth="1"/>
    <col min="1805" max="1805" width="14.42578125" style="221" customWidth="1"/>
    <col min="1806" max="2048" width="9.140625" style="221"/>
    <col min="2049" max="2049" width="36.42578125" style="221" customWidth="1"/>
    <col min="2050" max="2050" width="11.28515625" style="221" customWidth="1"/>
    <col min="2051" max="2051" width="17" style="221" customWidth="1"/>
    <col min="2052" max="2052" width="19.140625" style="221" customWidth="1"/>
    <col min="2053" max="2053" width="12.7109375" style="221" bestFit="1" customWidth="1"/>
    <col min="2054" max="2054" width="13.7109375" style="221" bestFit="1" customWidth="1"/>
    <col min="2055" max="2055" width="10.85546875" style="221" bestFit="1" customWidth="1"/>
    <col min="2056" max="2056" width="12.5703125" style="221" bestFit="1" customWidth="1"/>
    <col min="2057" max="2057" width="10.85546875" style="221" bestFit="1" customWidth="1"/>
    <col min="2058" max="2058" width="8.140625" style="221" customWidth="1"/>
    <col min="2059" max="2059" width="8.85546875" style="221" customWidth="1"/>
    <col min="2060" max="2060" width="11.28515625" style="221" customWidth="1"/>
    <col min="2061" max="2061" width="14.42578125" style="221" customWidth="1"/>
    <col min="2062" max="2304" width="9.140625" style="221"/>
    <col min="2305" max="2305" width="36.42578125" style="221" customWidth="1"/>
    <col min="2306" max="2306" width="11.28515625" style="221" customWidth="1"/>
    <col min="2307" max="2307" width="17" style="221" customWidth="1"/>
    <col min="2308" max="2308" width="19.140625" style="221" customWidth="1"/>
    <col min="2309" max="2309" width="12.7109375" style="221" bestFit="1" customWidth="1"/>
    <col min="2310" max="2310" width="13.7109375" style="221" bestFit="1" customWidth="1"/>
    <col min="2311" max="2311" width="10.85546875" style="221" bestFit="1" customWidth="1"/>
    <col min="2312" max="2312" width="12.5703125" style="221" bestFit="1" customWidth="1"/>
    <col min="2313" max="2313" width="10.85546875" style="221" bestFit="1" customWidth="1"/>
    <col min="2314" max="2314" width="8.140625" style="221" customWidth="1"/>
    <col min="2315" max="2315" width="8.85546875" style="221" customWidth="1"/>
    <col min="2316" max="2316" width="11.28515625" style="221" customWidth="1"/>
    <col min="2317" max="2317" width="14.42578125" style="221" customWidth="1"/>
    <col min="2318" max="2560" width="9.140625" style="221"/>
    <col min="2561" max="2561" width="36.42578125" style="221" customWidth="1"/>
    <col min="2562" max="2562" width="11.28515625" style="221" customWidth="1"/>
    <col min="2563" max="2563" width="17" style="221" customWidth="1"/>
    <col min="2564" max="2564" width="19.140625" style="221" customWidth="1"/>
    <col min="2565" max="2565" width="12.7109375" style="221" bestFit="1" customWidth="1"/>
    <col min="2566" max="2566" width="13.7109375" style="221" bestFit="1" customWidth="1"/>
    <col min="2567" max="2567" width="10.85546875" style="221" bestFit="1" customWidth="1"/>
    <col min="2568" max="2568" width="12.5703125" style="221" bestFit="1" customWidth="1"/>
    <col min="2569" max="2569" width="10.85546875" style="221" bestFit="1" customWidth="1"/>
    <col min="2570" max="2570" width="8.140625" style="221" customWidth="1"/>
    <col min="2571" max="2571" width="8.85546875" style="221" customWidth="1"/>
    <col min="2572" max="2572" width="11.28515625" style="221" customWidth="1"/>
    <col min="2573" max="2573" width="14.42578125" style="221" customWidth="1"/>
    <col min="2574" max="2816" width="9.140625" style="221"/>
    <col min="2817" max="2817" width="36.42578125" style="221" customWidth="1"/>
    <col min="2818" max="2818" width="11.28515625" style="221" customWidth="1"/>
    <col min="2819" max="2819" width="17" style="221" customWidth="1"/>
    <col min="2820" max="2820" width="19.140625" style="221" customWidth="1"/>
    <col min="2821" max="2821" width="12.7109375" style="221" bestFit="1" customWidth="1"/>
    <col min="2822" max="2822" width="13.7109375" style="221" bestFit="1" customWidth="1"/>
    <col min="2823" max="2823" width="10.85546875" style="221" bestFit="1" customWidth="1"/>
    <col min="2824" max="2824" width="12.5703125" style="221" bestFit="1" customWidth="1"/>
    <col min="2825" max="2825" width="10.85546875" style="221" bestFit="1" customWidth="1"/>
    <col min="2826" max="2826" width="8.140625" style="221" customWidth="1"/>
    <col min="2827" max="2827" width="8.85546875" style="221" customWidth="1"/>
    <col min="2828" max="2828" width="11.28515625" style="221" customWidth="1"/>
    <col min="2829" max="2829" width="14.42578125" style="221" customWidth="1"/>
    <col min="2830" max="3072" width="9.140625" style="221"/>
    <col min="3073" max="3073" width="36.42578125" style="221" customWidth="1"/>
    <col min="3074" max="3074" width="11.28515625" style="221" customWidth="1"/>
    <col min="3075" max="3075" width="17" style="221" customWidth="1"/>
    <col min="3076" max="3076" width="19.140625" style="221" customWidth="1"/>
    <col min="3077" max="3077" width="12.7109375" style="221" bestFit="1" customWidth="1"/>
    <col min="3078" max="3078" width="13.7109375" style="221" bestFit="1" customWidth="1"/>
    <col min="3079" max="3079" width="10.85546875" style="221" bestFit="1" customWidth="1"/>
    <col min="3080" max="3080" width="12.5703125" style="221" bestFit="1" customWidth="1"/>
    <col min="3081" max="3081" width="10.85546875" style="221" bestFit="1" customWidth="1"/>
    <col min="3082" max="3082" width="8.140625" style="221" customWidth="1"/>
    <col min="3083" max="3083" width="8.85546875" style="221" customWidth="1"/>
    <col min="3084" max="3084" width="11.28515625" style="221" customWidth="1"/>
    <col min="3085" max="3085" width="14.42578125" style="221" customWidth="1"/>
    <col min="3086" max="3328" width="9.140625" style="221"/>
    <col min="3329" max="3329" width="36.42578125" style="221" customWidth="1"/>
    <col min="3330" max="3330" width="11.28515625" style="221" customWidth="1"/>
    <col min="3331" max="3331" width="17" style="221" customWidth="1"/>
    <col min="3332" max="3332" width="19.140625" style="221" customWidth="1"/>
    <col min="3333" max="3333" width="12.7109375" style="221" bestFit="1" customWidth="1"/>
    <col min="3334" max="3334" width="13.7109375" style="221" bestFit="1" customWidth="1"/>
    <col min="3335" max="3335" width="10.85546875" style="221" bestFit="1" customWidth="1"/>
    <col min="3336" max="3336" width="12.5703125" style="221" bestFit="1" customWidth="1"/>
    <col min="3337" max="3337" width="10.85546875" style="221" bestFit="1" customWidth="1"/>
    <col min="3338" max="3338" width="8.140625" style="221" customWidth="1"/>
    <col min="3339" max="3339" width="8.85546875" style="221" customWidth="1"/>
    <col min="3340" max="3340" width="11.28515625" style="221" customWidth="1"/>
    <col min="3341" max="3341" width="14.42578125" style="221" customWidth="1"/>
    <col min="3342" max="3584" width="9.140625" style="221"/>
    <col min="3585" max="3585" width="36.42578125" style="221" customWidth="1"/>
    <col min="3586" max="3586" width="11.28515625" style="221" customWidth="1"/>
    <col min="3587" max="3587" width="17" style="221" customWidth="1"/>
    <col min="3588" max="3588" width="19.140625" style="221" customWidth="1"/>
    <col min="3589" max="3589" width="12.7109375" style="221" bestFit="1" customWidth="1"/>
    <col min="3590" max="3590" width="13.7109375" style="221" bestFit="1" customWidth="1"/>
    <col min="3591" max="3591" width="10.85546875" style="221" bestFit="1" customWidth="1"/>
    <col min="3592" max="3592" width="12.5703125" style="221" bestFit="1" customWidth="1"/>
    <col min="3593" max="3593" width="10.85546875" style="221" bestFit="1" customWidth="1"/>
    <col min="3594" max="3594" width="8.140625" style="221" customWidth="1"/>
    <col min="3595" max="3595" width="8.85546875" style="221" customWidth="1"/>
    <col min="3596" max="3596" width="11.28515625" style="221" customWidth="1"/>
    <col min="3597" max="3597" width="14.42578125" style="221" customWidth="1"/>
    <col min="3598" max="3840" width="9.140625" style="221"/>
    <col min="3841" max="3841" width="36.42578125" style="221" customWidth="1"/>
    <col min="3842" max="3842" width="11.28515625" style="221" customWidth="1"/>
    <col min="3843" max="3843" width="17" style="221" customWidth="1"/>
    <col min="3844" max="3844" width="19.140625" style="221" customWidth="1"/>
    <col min="3845" max="3845" width="12.7109375" style="221" bestFit="1" customWidth="1"/>
    <col min="3846" max="3846" width="13.7109375" style="221" bestFit="1" customWidth="1"/>
    <col min="3847" max="3847" width="10.85546875" style="221" bestFit="1" customWidth="1"/>
    <col min="3848" max="3848" width="12.5703125" style="221" bestFit="1" customWidth="1"/>
    <col min="3849" max="3849" width="10.85546875" style="221" bestFit="1" customWidth="1"/>
    <col min="3850" max="3850" width="8.140625" style="221" customWidth="1"/>
    <col min="3851" max="3851" width="8.85546875" style="221" customWidth="1"/>
    <col min="3852" max="3852" width="11.28515625" style="221" customWidth="1"/>
    <col min="3853" max="3853" width="14.42578125" style="221" customWidth="1"/>
    <col min="3854" max="4096" width="9.140625" style="221"/>
    <col min="4097" max="4097" width="36.42578125" style="221" customWidth="1"/>
    <col min="4098" max="4098" width="11.28515625" style="221" customWidth="1"/>
    <col min="4099" max="4099" width="17" style="221" customWidth="1"/>
    <col min="4100" max="4100" width="19.140625" style="221" customWidth="1"/>
    <col min="4101" max="4101" width="12.7109375" style="221" bestFit="1" customWidth="1"/>
    <col min="4102" max="4102" width="13.7109375" style="221" bestFit="1" customWidth="1"/>
    <col min="4103" max="4103" width="10.85546875" style="221" bestFit="1" customWidth="1"/>
    <col min="4104" max="4104" width="12.5703125" style="221" bestFit="1" customWidth="1"/>
    <col min="4105" max="4105" width="10.85546875" style="221" bestFit="1" customWidth="1"/>
    <col min="4106" max="4106" width="8.140625" style="221" customWidth="1"/>
    <col min="4107" max="4107" width="8.85546875" style="221" customWidth="1"/>
    <col min="4108" max="4108" width="11.28515625" style="221" customWidth="1"/>
    <col min="4109" max="4109" width="14.42578125" style="221" customWidth="1"/>
    <col min="4110" max="4352" width="9.140625" style="221"/>
    <col min="4353" max="4353" width="36.42578125" style="221" customWidth="1"/>
    <col min="4354" max="4354" width="11.28515625" style="221" customWidth="1"/>
    <col min="4355" max="4355" width="17" style="221" customWidth="1"/>
    <col min="4356" max="4356" width="19.140625" style="221" customWidth="1"/>
    <col min="4357" max="4357" width="12.7109375" style="221" bestFit="1" customWidth="1"/>
    <col min="4358" max="4358" width="13.7109375" style="221" bestFit="1" customWidth="1"/>
    <col min="4359" max="4359" width="10.85546875" style="221" bestFit="1" customWidth="1"/>
    <col min="4360" max="4360" width="12.5703125" style="221" bestFit="1" customWidth="1"/>
    <col min="4361" max="4361" width="10.85546875" style="221" bestFit="1" customWidth="1"/>
    <col min="4362" max="4362" width="8.140625" style="221" customWidth="1"/>
    <col min="4363" max="4363" width="8.85546875" style="221" customWidth="1"/>
    <col min="4364" max="4364" width="11.28515625" style="221" customWidth="1"/>
    <col min="4365" max="4365" width="14.42578125" style="221" customWidth="1"/>
    <col min="4366" max="4608" width="9.140625" style="221"/>
    <col min="4609" max="4609" width="36.42578125" style="221" customWidth="1"/>
    <col min="4610" max="4610" width="11.28515625" style="221" customWidth="1"/>
    <col min="4611" max="4611" width="17" style="221" customWidth="1"/>
    <col min="4612" max="4612" width="19.140625" style="221" customWidth="1"/>
    <col min="4613" max="4613" width="12.7109375" style="221" bestFit="1" customWidth="1"/>
    <col min="4614" max="4614" width="13.7109375" style="221" bestFit="1" customWidth="1"/>
    <col min="4615" max="4615" width="10.85546875" style="221" bestFit="1" customWidth="1"/>
    <col min="4616" max="4616" width="12.5703125" style="221" bestFit="1" customWidth="1"/>
    <col min="4617" max="4617" width="10.85546875" style="221" bestFit="1" customWidth="1"/>
    <col min="4618" max="4618" width="8.140625" style="221" customWidth="1"/>
    <col min="4619" max="4619" width="8.85546875" style="221" customWidth="1"/>
    <col min="4620" max="4620" width="11.28515625" style="221" customWidth="1"/>
    <col min="4621" max="4621" width="14.42578125" style="221" customWidth="1"/>
    <col min="4622" max="4864" width="9.140625" style="221"/>
    <col min="4865" max="4865" width="36.42578125" style="221" customWidth="1"/>
    <col min="4866" max="4866" width="11.28515625" style="221" customWidth="1"/>
    <col min="4867" max="4867" width="17" style="221" customWidth="1"/>
    <col min="4868" max="4868" width="19.140625" style="221" customWidth="1"/>
    <col min="4869" max="4869" width="12.7109375" style="221" bestFit="1" customWidth="1"/>
    <col min="4870" max="4870" width="13.7109375" style="221" bestFit="1" customWidth="1"/>
    <col min="4871" max="4871" width="10.85546875" style="221" bestFit="1" customWidth="1"/>
    <col min="4872" max="4872" width="12.5703125" style="221" bestFit="1" customWidth="1"/>
    <col min="4873" max="4873" width="10.85546875" style="221" bestFit="1" customWidth="1"/>
    <col min="4874" max="4874" width="8.140625" style="221" customWidth="1"/>
    <col min="4875" max="4875" width="8.85546875" style="221" customWidth="1"/>
    <col min="4876" max="4876" width="11.28515625" style="221" customWidth="1"/>
    <col min="4877" max="4877" width="14.42578125" style="221" customWidth="1"/>
    <col min="4878" max="5120" width="9.140625" style="221"/>
    <col min="5121" max="5121" width="36.42578125" style="221" customWidth="1"/>
    <col min="5122" max="5122" width="11.28515625" style="221" customWidth="1"/>
    <col min="5123" max="5123" width="17" style="221" customWidth="1"/>
    <col min="5124" max="5124" width="19.140625" style="221" customWidth="1"/>
    <col min="5125" max="5125" width="12.7109375" style="221" bestFit="1" customWidth="1"/>
    <col min="5126" max="5126" width="13.7109375" style="221" bestFit="1" customWidth="1"/>
    <col min="5127" max="5127" width="10.85546875" style="221" bestFit="1" customWidth="1"/>
    <col min="5128" max="5128" width="12.5703125" style="221" bestFit="1" customWidth="1"/>
    <col min="5129" max="5129" width="10.85546875" style="221" bestFit="1" customWidth="1"/>
    <col min="5130" max="5130" width="8.140625" style="221" customWidth="1"/>
    <col min="5131" max="5131" width="8.85546875" style="221" customWidth="1"/>
    <col min="5132" max="5132" width="11.28515625" style="221" customWidth="1"/>
    <col min="5133" max="5133" width="14.42578125" style="221" customWidth="1"/>
    <col min="5134" max="5376" width="9.140625" style="221"/>
    <col min="5377" max="5377" width="36.42578125" style="221" customWidth="1"/>
    <col min="5378" max="5378" width="11.28515625" style="221" customWidth="1"/>
    <col min="5379" max="5379" width="17" style="221" customWidth="1"/>
    <col min="5380" max="5380" width="19.140625" style="221" customWidth="1"/>
    <col min="5381" max="5381" width="12.7109375" style="221" bestFit="1" customWidth="1"/>
    <col min="5382" max="5382" width="13.7109375" style="221" bestFit="1" customWidth="1"/>
    <col min="5383" max="5383" width="10.85546875" style="221" bestFit="1" customWidth="1"/>
    <col min="5384" max="5384" width="12.5703125" style="221" bestFit="1" customWidth="1"/>
    <col min="5385" max="5385" width="10.85546875" style="221" bestFit="1" customWidth="1"/>
    <col min="5386" max="5386" width="8.140625" style="221" customWidth="1"/>
    <col min="5387" max="5387" width="8.85546875" style="221" customWidth="1"/>
    <col min="5388" max="5388" width="11.28515625" style="221" customWidth="1"/>
    <col min="5389" max="5389" width="14.42578125" style="221" customWidth="1"/>
    <col min="5390" max="5632" width="9.140625" style="221"/>
    <col min="5633" max="5633" width="36.42578125" style="221" customWidth="1"/>
    <col min="5634" max="5634" width="11.28515625" style="221" customWidth="1"/>
    <col min="5635" max="5635" width="17" style="221" customWidth="1"/>
    <col min="5636" max="5636" width="19.140625" style="221" customWidth="1"/>
    <col min="5637" max="5637" width="12.7109375" style="221" bestFit="1" customWidth="1"/>
    <col min="5638" max="5638" width="13.7109375" style="221" bestFit="1" customWidth="1"/>
    <col min="5639" max="5639" width="10.85546875" style="221" bestFit="1" customWidth="1"/>
    <col min="5640" max="5640" width="12.5703125" style="221" bestFit="1" customWidth="1"/>
    <col min="5641" max="5641" width="10.85546875" style="221" bestFit="1" customWidth="1"/>
    <col min="5642" max="5642" width="8.140625" style="221" customWidth="1"/>
    <col min="5643" max="5643" width="8.85546875" style="221" customWidth="1"/>
    <col min="5644" max="5644" width="11.28515625" style="221" customWidth="1"/>
    <col min="5645" max="5645" width="14.42578125" style="221" customWidth="1"/>
    <col min="5646" max="5888" width="9.140625" style="221"/>
    <col min="5889" max="5889" width="36.42578125" style="221" customWidth="1"/>
    <col min="5890" max="5890" width="11.28515625" style="221" customWidth="1"/>
    <col min="5891" max="5891" width="17" style="221" customWidth="1"/>
    <col min="5892" max="5892" width="19.140625" style="221" customWidth="1"/>
    <col min="5893" max="5893" width="12.7109375" style="221" bestFit="1" customWidth="1"/>
    <col min="5894" max="5894" width="13.7109375" style="221" bestFit="1" customWidth="1"/>
    <col min="5895" max="5895" width="10.85546875" style="221" bestFit="1" customWidth="1"/>
    <col min="5896" max="5896" width="12.5703125" style="221" bestFit="1" customWidth="1"/>
    <col min="5897" max="5897" width="10.85546875" style="221" bestFit="1" customWidth="1"/>
    <col min="5898" max="5898" width="8.140625" style="221" customWidth="1"/>
    <col min="5899" max="5899" width="8.85546875" style="221" customWidth="1"/>
    <col min="5900" max="5900" width="11.28515625" style="221" customWidth="1"/>
    <col min="5901" max="5901" width="14.42578125" style="221" customWidth="1"/>
    <col min="5902" max="6144" width="9.140625" style="221"/>
    <col min="6145" max="6145" width="36.42578125" style="221" customWidth="1"/>
    <col min="6146" max="6146" width="11.28515625" style="221" customWidth="1"/>
    <col min="6147" max="6147" width="17" style="221" customWidth="1"/>
    <col min="6148" max="6148" width="19.140625" style="221" customWidth="1"/>
    <col min="6149" max="6149" width="12.7109375" style="221" bestFit="1" customWidth="1"/>
    <col min="6150" max="6150" width="13.7109375" style="221" bestFit="1" customWidth="1"/>
    <col min="6151" max="6151" width="10.85546875" style="221" bestFit="1" customWidth="1"/>
    <col min="6152" max="6152" width="12.5703125" style="221" bestFit="1" customWidth="1"/>
    <col min="6153" max="6153" width="10.85546875" style="221" bestFit="1" customWidth="1"/>
    <col min="6154" max="6154" width="8.140625" style="221" customWidth="1"/>
    <col min="6155" max="6155" width="8.85546875" style="221" customWidth="1"/>
    <col min="6156" max="6156" width="11.28515625" style="221" customWidth="1"/>
    <col min="6157" max="6157" width="14.42578125" style="221" customWidth="1"/>
    <col min="6158" max="6400" width="9.140625" style="221"/>
    <col min="6401" max="6401" width="36.42578125" style="221" customWidth="1"/>
    <col min="6402" max="6402" width="11.28515625" style="221" customWidth="1"/>
    <col min="6403" max="6403" width="17" style="221" customWidth="1"/>
    <col min="6404" max="6404" width="19.140625" style="221" customWidth="1"/>
    <col min="6405" max="6405" width="12.7109375" style="221" bestFit="1" customWidth="1"/>
    <col min="6406" max="6406" width="13.7109375" style="221" bestFit="1" customWidth="1"/>
    <col min="6407" max="6407" width="10.85546875" style="221" bestFit="1" customWidth="1"/>
    <col min="6408" max="6408" width="12.5703125" style="221" bestFit="1" customWidth="1"/>
    <col min="6409" max="6409" width="10.85546875" style="221" bestFit="1" customWidth="1"/>
    <col min="6410" max="6410" width="8.140625" style="221" customWidth="1"/>
    <col min="6411" max="6411" width="8.85546875" style="221" customWidth="1"/>
    <col min="6412" max="6412" width="11.28515625" style="221" customWidth="1"/>
    <col min="6413" max="6413" width="14.42578125" style="221" customWidth="1"/>
    <col min="6414" max="6656" width="9.140625" style="221"/>
    <col min="6657" max="6657" width="36.42578125" style="221" customWidth="1"/>
    <col min="6658" max="6658" width="11.28515625" style="221" customWidth="1"/>
    <col min="6659" max="6659" width="17" style="221" customWidth="1"/>
    <col min="6660" max="6660" width="19.140625" style="221" customWidth="1"/>
    <col min="6661" max="6661" width="12.7109375" style="221" bestFit="1" customWidth="1"/>
    <col min="6662" max="6662" width="13.7109375" style="221" bestFit="1" customWidth="1"/>
    <col min="6663" max="6663" width="10.85546875" style="221" bestFit="1" customWidth="1"/>
    <col min="6664" max="6664" width="12.5703125" style="221" bestFit="1" customWidth="1"/>
    <col min="6665" max="6665" width="10.85546875" style="221" bestFit="1" customWidth="1"/>
    <col min="6666" max="6666" width="8.140625" style="221" customWidth="1"/>
    <col min="6667" max="6667" width="8.85546875" style="221" customWidth="1"/>
    <col min="6668" max="6668" width="11.28515625" style="221" customWidth="1"/>
    <col min="6669" max="6669" width="14.42578125" style="221" customWidth="1"/>
    <col min="6670" max="6912" width="9.140625" style="221"/>
    <col min="6913" max="6913" width="36.42578125" style="221" customWidth="1"/>
    <col min="6914" max="6914" width="11.28515625" style="221" customWidth="1"/>
    <col min="6915" max="6915" width="17" style="221" customWidth="1"/>
    <col min="6916" max="6916" width="19.140625" style="221" customWidth="1"/>
    <col min="6917" max="6917" width="12.7109375" style="221" bestFit="1" customWidth="1"/>
    <col min="6918" max="6918" width="13.7109375" style="221" bestFit="1" customWidth="1"/>
    <col min="6919" max="6919" width="10.85546875" style="221" bestFit="1" customWidth="1"/>
    <col min="6920" max="6920" width="12.5703125" style="221" bestFit="1" customWidth="1"/>
    <col min="6921" max="6921" width="10.85546875" style="221" bestFit="1" customWidth="1"/>
    <col min="6922" max="6922" width="8.140625" style="221" customWidth="1"/>
    <col min="6923" max="6923" width="8.85546875" style="221" customWidth="1"/>
    <col min="6924" max="6924" width="11.28515625" style="221" customWidth="1"/>
    <col min="6925" max="6925" width="14.42578125" style="221" customWidth="1"/>
    <col min="6926" max="7168" width="9.140625" style="221"/>
    <col min="7169" max="7169" width="36.42578125" style="221" customWidth="1"/>
    <col min="7170" max="7170" width="11.28515625" style="221" customWidth="1"/>
    <col min="7171" max="7171" width="17" style="221" customWidth="1"/>
    <col min="7172" max="7172" width="19.140625" style="221" customWidth="1"/>
    <col min="7173" max="7173" width="12.7109375" style="221" bestFit="1" customWidth="1"/>
    <col min="7174" max="7174" width="13.7109375" style="221" bestFit="1" customWidth="1"/>
    <col min="7175" max="7175" width="10.85546875" style="221" bestFit="1" customWidth="1"/>
    <col min="7176" max="7176" width="12.5703125" style="221" bestFit="1" customWidth="1"/>
    <col min="7177" max="7177" width="10.85546875" style="221" bestFit="1" customWidth="1"/>
    <col min="7178" max="7178" width="8.140625" style="221" customWidth="1"/>
    <col min="7179" max="7179" width="8.85546875" style="221" customWidth="1"/>
    <col min="7180" max="7180" width="11.28515625" style="221" customWidth="1"/>
    <col min="7181" max="7181" width="14.42578125" style="221" customWidth="1"/>
    <col min="7182" max="7424" width="9.140625" style="221"/>
    <col min="7425" max="7425" width="36.42578125" style="221" customWidth="1"/>
    <col min="7426" max="7426" width="11.28515625" style="221" customWidth="1"/>
    <col min="7427" max="7427" width="17" style="221" customWidth="1"/>
    <col min="7428" max="7428" width="19.140625" style="221" customWidth="1"/>
    <col min="7429" max="7429" width="12.7109375" style="221" bestFit="1" customWidth="1"/>
    <col min="7430" max="7430" width="13.7109375" style="221" bestFit="1" customWidth="1"/>
    <col min="7431" max="7431" width="10.85546875" style="221" bestFit="1" customWidth="1"/>
    <col min="7432" max="7432" width="12.5703125" style="221" bestFit="1" customWidth="1"/>
    <col min="7433" max="7433" width="10.85546875" style="221" bestFit="1" customWidth="1"/>
    <col min="7434" max="7434" width="8.140625" style="221" customWidth="1"/>
    <col min="7435" max="7435" width="8.85546875" style="221" customWidth="1"/>
    <col min="7436" max="7436" width="11.28515625" style="221" customWidth="1"/>
    <col min="7437" max="7437" width="14.42578125" style="221" customWidth="1"/>
    <col min="7438" max="7680" width="9.140625" style="221"/>
    <col min="7681" max="7681" width="36.42578125" style="221" customWidth="1"/>
    <col min="7682" max="7682" width="11.28515625" style="221" customWidth="1"/>
    <col min="7683" max="7683" width="17" style="221" customWidth="1"/>
    <col min="7684" max="7684" width="19.140625" style="221" customWidth="1"/>
    <col min="7685" max="7685" width="12.7109375" style="221" bestFit="1" customWidth="1"/>
    <col min="7686" max="7686" width="13.7109375" style="221" bestFit="1" customWidth="1"/>
    <col min="7687" max="7687" width="10.85546875" style="221" bestFit="1" customWidth="1"/>
    <col min="7688" max="7688" width="12.5703125" style="221" bestFit="1" customWidth="1"/>
    <col min="7689" max="7689" width="10.85546875" style="221" bestFit="1" customWidth="1"/>
    <col min="7690" max="7690" width="8.140625" style="221" customWidth="1"/>
    <col min="7691" max="7691" width="8.85546875" style="221" customWidth="1"/>
    <col min="7692" max="7692" width="11.28515625" style="221" customWidth="1"/>
    <col min="7693" max="7693" width="14.42578125" style="221" customWidth="1"/>
    <col min="7694" max="7936" width="9.140625" style="221"/>
    <col min="7937" max="7937" width="36.42578125" style="221" customWidth="1"/>
    <col min="7938" max="7938" width="11.28515625" style="221" customWidth="1"/>
    <col min="7939" max="7939" width="17" style="221" customWidth="1"/>
    <col min="7940" max="7940" width="19.140625" style="221" customWidth="1"/>
    <col min="7941" max="7941" width="12.7109375" style="221" bestFit="1" customWidth="1"/>
    <col min="7942" max="7942" width="13.7109375" style="221" bestFit="1" customWidth="1"/>
    <col min="7943" max="7943" width="10.85546875" style="221" bestFit="1" customWidth="1"/>
    <col min="7944" max="7944" width="12.5703125" style="221" bestFit="1" customWidth="1"/>
    <col min="7945" max="7945" width="10.85546875" style="221" bestFit="1" customWidth="1"/>
    <col min="7946" max="7946" width="8.140625" style="221" customWidth="1"/>
    <col min="7947" max="7947" width="8.85546875" style="221" customWidth="1"/>
    <col min="7948" max="7948" width="11.28515625" style="221" customWidth="1"/>
    <col min="7949" max="7949" width="14.42578125" style="221" customWidth="1"/>
    <col min="7950" max="8192" width="9.140625" style="221"/>
    <col min="8193" max="8193" width="36.42578125" style="221" customWidth="1"/>
    <col min="8194" max="8194" width="11.28515625" style="221" customWidth="1"/>
    <col min="8195" max="8195" width="17" style="221" customWidth="1"/>
    <col min="8196" max="8196" width="19.140625" style="221" customWidth="1"/>
    <col min="8197" max="8197" width="12.7109375" style="221" bestFit="1" customWidth="1"/>
    <col min="8198" max="8198" width="13.7109375" style="221" bestFit="1" customWidth="1"/>
    <col min="8199" max="8199" width="10.85546875" style="221" bestFit="1" customWidth="1"/>
    <col min="8200" max="8200" width="12.5703125" style="221" bestFit="1" customWidth="1"/>
    <col min="8201" max="8201" width="10.85546875" style="221" bestFit="1" customWidth="1"/>
    <col min="8202" max="8202" width="8.140625" style="221" customWidth="1"/>
    <col min="8203" max="8203" width="8.85546875" style="221" customWidth="1"/>
    <col min="8204" max="8204" width="11.28515625" style="221" customWidth="1"/>
    <col min="8205" max="8205" width="14.42578125" style="221" customWidth="1"/>
    <col min="8206" max="8448" width="9.140625" style="221"/>
    <col min="8449" max="8449" width="36.42578125" style="221" customWidth="1"/>
    <col min="8450" max="8450" width="11.28515625" style="221" customWidth="1"/>
    <col min="8451" max="8451" width="17" style="221" customWidth="1"/>
    <col min="8452" max="8452" width="19.140625" style="221" customWidth="1"/>
    <col min="8453" max="8453" width="12.7109375" style="221" bestFit="1" customWidth="1"/>
    <col min="8454" max="8454" width="13.7109375" style="221" bestFit="1" customWidth="1"/>
    <col min="8455" max="8455" width="10.85546875" style="221" bestFit="1" customWidth="1"/>
    <col min="8456" max="8456" width="12.5703125" style="221" bestFit="1" customWidth="1"/>
    <col min="8457" max="8457" width="10.85546875" style="221" bestFit="1" customWidth="1"/>
    <col min="8458" max="8458" width="8.140625" style="221" customWidth="1"/>
    <col min="8459" max="8459" width="8.85546875" style="221" customWidth="1"/>
    <col min="8460" max="8460" width="11.28515625" style="221" customWidth="1"/>
    <col min="8461" max="8461" width="14.42578125" style="221" customWidth="1"/>
    <col min="8462" max="8704" width="9.140625" style="221"/>
    <col min="8705" max="8705" width="36.42578125" style="221" customWidth="1"/>
    <col min="8706" max="8706" width="11.28515625" style="221" customWidth="1"/>
    <col min="8707" max="8707" width="17" style="221" customWidth="1"/>
    <col min="8708" max="8708" width="19.140625" style="221" customWidth="1"/>
    <col min="8709" max="8709" width="12.7109375" style="221" bestFit="1" customWidth="1"/>
    <col min="8710" max="8710" width="13.7109375" style="221" bestFit="1" customWidth="1"/>
    <col min="8711" max="8711" width="10.85546875" style="221" bestFit="1" customWidth="1"/>
    <col min="8712" max="8712" width="12.5703125" style="221" bestFit="1" customWidth="1"/>
    <col min="8713" max="8713" width="10.85546875" style="221" bestFit="1" customWidth="1"/>
    <col min="8714" max="8714" width="8.140625" style="221" customWidth="1"/>
    <col min="8715" max="8715" width="8.85546875" style="221" customWidth="1"/>
    <col min="8716" max="8716" width="11.28515625" style="221" customWidth="1"/>
    <col min="8717" max="8717" width="14.42578125" style="221" customWidth="1"/>
    <col min="8718" max="8960" width="9.140625" style="221"/>
    <col min="8961" max="8961" width="36.42578125" style="221" customWidth="1"/>
    <col min="8962" max="8962" width="11.28515625" style="221" customWidth="1"/>
    <col min="8963" max="8963" width="17" style="221" customWidth="1"/>
    <col min="8964" max="8964" width="19.140625" style="221" customWidth="1"/>
    <col min="8965" max="8965" width="12.7109375" style="221" bestFit="1" customWidth="1"/>
    <col min="8966" max="8966" width="13.7109375" style="221" bestFit="1" customWidth="1"/>
    <col min="8967" max="8967" width="10.85546875" style="221" bestFit="1" customWidth="1"/>
    <col min="8968" max="8968" width="12.5703125" style="221" bestFit="1" customWidth="1"/>
    <col min="8969" max="8969" width="10.85546875" style="221" bestFit="1" customWidth="1"/>
    <col min="8970" max="8970" width="8.140625" style="221" customWidth="1"/>
    <col min="8971" max="8971" width="8.85546875" style="221" customWidth="1"/>
    <col min="8972" max="8972" width="11.28515625" style="221" customWidth="1"/>
    <col min="8973" max="8973" width="14.42578125" style="221" customWidth="1"/>
    <col min="8974" max="9216" width="9.140625" style="221"/>
    <col min="9217" max="9217" width="36.42578125" style="221" customWidth="1"/>
    <col min="9218" max="9218" width="11.28515625" style="221" customWidth="1"/>
    <col min="9219" max="9219" width="17" style="221" customWidth="1"/>
    <col min="9220" max="9220" width="19.140625" style="221" customWidth="1"/>
    <col min="9221" max="9221" width="12.7109375" style="221" bestFit="1" customWidth="1"/>
    <col min="9222" max="9222" width="13.7109375" style="221" bestFit="1" customWidth="1"/>
    <col min="9223" max="9223" width="10.85546875" style="221" bestFit="1" customWidth="1"/>
    <col min="9224" max="9224" width="12.5703125" style="221" bestFit="1" customWidth="1"/>
    <col min="9225" max="9225" width="10.85546875" style="221" bestFit="1" customWidth="1"/>
    <col min="9226" max="9226" width="8.140625" style="221" customWidth="1"/>
    <col min="9227" max="9227" width="8.85546875" style="221" customWidth="1"/>
    <col min="9228" max="9228" width="11.28515625" style="221" customWidth="1"/>
    <col min="9229" max="9229" width="14.42578125" style="221" customWidth="1"/>
    <col min="9230" max="9472" width="9.140625" style="221"/>
    <col min="9473" max="9473" width="36.42578125" style="221" customWidth="1"/>
    <col min="9474" max="9474" width="11.28515625" style="221" customWidth="1"/>
    <col min="9475" max="9475" width="17" style="221" customWidth="1"/>
    <col min="9476" max="9476" width="19.140625" style="221" customWidth="1"/>
    <col min="9477" max="9477" width="12.7109375" style="221" bestFit="1" customWidth="1"/>
    <col min="9478" max="9478" width="13.7109375" style="221" bestFit="1" customWidth="1"/>
    <col min="9479" max="9479" width="10.85546875" style="221" bestFit="1" customWidth="1"/>
    <col min="9480" max="9480" width="12.5703125" style="221" bestFit="1" customWidth="1"/>
    <col min="9481" max="9481" width="10.85546875" style="221" bestFit="1" customWidth="1"/>
    <col min="9482" max="9482" width="8.140625" style="221" customWidth="1"/>
    <col min="9483" max="9483" width="8.85546875" style="221" customWidth="1"/>
    <col min="9484" max="9484" width="11.28515625" style="221" customWidth="1"/>
    <col min="9485" max="9485" width="14.42578125" style="221" customWidth="1"/>
    <col min="9486" max="9728" width="9.140625" style="221"/>
    <col min="9729" max="9729" width="36.42578125" style="221" customWidth="1"/>
    <col min="9730" max="9730" width="11.28515625" style="221" customWidth="1"/>
    <col min="9731" max="9731" width="17" style="221" customWidth="1"/>
    <col min="9732" max="9732" width="19.140625" style="221" customWidth="1"/>
    <col min="9733" max="9733" width="12.7109375" style="221" bestFit="1" customWidth="1"/>
    <col min="9734" max="9734" width="13.7109375" style="221" bestFit="1" customWidth="1"/>
    <col min="9735" max="9735" width="10.85546875" style="221" bestFit="1" customWidth="1"/>
    <col min="9736" max="9736" width="12.5703125" style="221" bestFit="1" customWidth="1"/>
    <col min="9737" max="9737" width="10.85546875" style="221" bestFit="1" customWidth="1"/>
    <col min="9738" max="9738" width="8.140625" style="221" customWidth="1"/>
    <col min="9739" max="9739" width="8.85546875" style="221" customWidth="1"/>
    <col min="9740" max="9740" width="11.28515625" style="221" customWidth="1"/>
    <col min="9741" max="9741" width="14.42578125" style="221" customWidth="1"/>
    <col min="9742" max="9984" width="9.140625" style="221"/>
    <col min="9985" max="9985" width="36.42578125" style="221" customWidth="1"/>
    <col min="9986" max="9986" width="11.28515625" style="221" customWidth="1"/>
    <col min="9987" max="9987" width="17" style="221" customWidth="1"/>
    <col min="9988" max="9988" width="19.140625" style="221" customWidth="1"/>
    <col min="9989" max="9989" width="12.7109375" style="221" bestFit="1" customWidth="1"/>
    <col min="9990" max="9990" width="13.7109375" style="221" bestFit="1" customWidth="1"/>
    <col min="9991" max="9991" width="10.85546875" style="221" bestFit="1" customWidth="1"/>
    <col min="9992" max="9992" width="12.5703125" style="221" bestFit="1" customWidth="1"/>
    <col min="9993" max="9993" width="10.85546875" style="221" bestFit="1" customWidth="1"/>
    <col min="9994" max="9994" width="8.140625" style="221" customWidth="1"/>
    <col min="9995" max="9995" width="8.85546875" style="221" customWidth="1"/>
    <col min="9996" max="9996" width="11.28515625" style="221" customWidth="1"/>
    <col min="9997" max="9997" width="14.42578125" style="221" customWidth="1"/>
    <col min="9998" max="10240" width="9.140625" style="221"/>
    <col min="10241" max="10241" width="36.42578125" style="221" customWidth="1"/>
    <col min="10242" max="10242" width="11.28515625" style="221" customWidth="1"/>
    <col min="10243" max="10243" width="17" style="221" customWidth="1"/>
    <col min="10244" max="10244" width="19.140625" style="221" customWidth="1"/>
    <col min="10245" max="10245" width="12.7109375" style="221" bestFit="1" customWidth="1"/>
    <col min="10246" max="10246" width="13.7109375" style="221" bestFit="1" customWidth="1"/>
    <col min="10247" max="10247" width="10.85546875" style="221" bestFit="1" customWidth="1"/>
    <col min="10248" max="10248" width="12.5703125" style="221" bestFit="1" customWidth="1"/>
    <col min="10249" max="10249" width="10.85546875" style="221" bestFit="1" customWidth="1"/>
    <col min="10250" max="10250" width="8.140625" style="221" customWidth="1"/>
    <col min="10251" max="10251" width="8.85546875" style="221" customWidth="1"/>
    <col min="10252" max="10252" width="11.28515625" style="221" customWidth="1"/>
    <col min="10253" max="10253" width="14.42578125" style="221" customWidth="1"/>
    <col min="10254" max="10496" width="9.140625" style="221"/>
    <col min="10497" max="10497" width="36.42578125" style="221" customWidth="1"/>
    <col min="10498" max="10498" width="11.28515625" style="221" customWidth="1"/>
    <col min="10499" max="10499" width="17" style="221" customWidth="1"/>
    <col min="10500" max="10500" width="19.140625" style="221" customWidth="1"/>
    <col min="10501" max="10501" width="12.7109375" style="221" bestFit="1" customWidth="1"/>
    <col min="10502" max="10502" width="13.7109375" style="221" bestFit="1" customWidth="1"/>
    <col min="10503" max="10503" width="10.85546875" style="221" bestFit="1" customWidth="1"/>
    <col min="10504" max="10504" width="12.5703125" style="221" bestFit="1" customWidth="1"/>
    <col min="10505" max="10505" width="10.85546875" style="221" bestFit="1" customWidth="1"/>
    <col min="10506" max="10506" width="8.140625" style="221" customWidth="1"/>
    <col min="10507" max="10507" width="8.85546875" style="221" customWidth="1"/>
    <col min="10508" max="10508" width="11.28515625" style="221" customWidth="1"/>
    <col min="10509" max="10509" width="14.42578125" style="221" customWidth="1"/>
    <col min="10510" max="10752" width="9.140625" style="221"/>
    <col min="10753" max="10753" width="36.42578125" style="221" customWidth="1"/>
    <col min="10754" max="10754" width="11.28515625" style="221" customWidth="1"/>
    <col min="10755" max="10755" width="17" style="221" customWidth="1"/>
    <col min="10756" max="10756" width="19.140625" style="221" customWidth="1"/>
    <col min="10757" max="10757" width="12.7109375" style="221" bestFit="1" customWidth="1"/>
    <col min="10758" max="10758" width="13.7109375" style="221" bestFit="1" customWidth="1"/>
    <col min="10759" max="10759" width="10.85546875" style="221" bestFit="1" customWidth="1"/>
    <col min="10760" max="10760" width="12.5703125" style="221" bestFit="1" customWidth="1"/>
    <col min="10761" max="10761" width="10.85546875" style="221" bestFit="1" customWidth="1"/>
    <col min="10762" max="10762" width="8.140625" style="221" customWidth="1"/>
    <col min="10763" max="10763" width="8.85546875" style="221" customWidth="1"/>
    <col min="10764" max="10764" width="11.28515625" style="221" customWidth="1"/>
    <col min="10765" max="10765" width="14.42578125" style="221" customWidth="1"/>
    <col min="10766" max="11008" width="9.140625" style="221"/>
    <col min="11009" max="11009" width="36.42578125" style="221" customWidth="1"/>
    <col min="11010" max="11010" width="11.28515625" style="221" customWidth="1"/>
    <col min="11011" max="11011" width="17" style="221" customWidth="1"/>
    <col min="11012" max="11012" width="19.140625" style="221" customWidth="1"/>
    <col min="11013" max="11013" width="12.7109375" style="221" bestFit="1" customWidth="1"/>
    <col min="11014" max="11014" width="13.7109375" style="221" bestFit="1" customWidth="1"/>
    <col min="11015" max="11015" width="10.85546875" style="221" bestFit="1" customWidth="1"/>
    <col min="11016" max="11016" width="12.5703125" style="221" bestFit="1" customWidth="1"/>
    <col min="11017" max="11017" width="10.85546875" style="221" bestFit="1" customWidth="1"/>
    <col min="11018" max="11018" width="8.140625" style="221" customWidth="1"/>
    <col min="11019" max="11019" width="8.85546875" style="221" customWidth="1"/>
    <col min="11020" max="11020" width="11.28515625" style="221" customWidth="1"/>
    <col min="11021" max="11021" width="14.42578125" style="221" customWidth="1"/>
    <col min="11022" max="11264" width="9.140625" style="221"/>
    <col min="11265" max="11265" width="36.42578125" style="221" customWidth="1"/>
    <col min="11266" max="11266" width="11.28515625" style="221" customWidth="1"/>
    <col min="11267" max="11267" width="17" style="221" customWidth="1"/>
    <col min="11268" max="11268" width="19.140625" style="221" customWidth="1"/>
    <col min="11269" max="11269" width="12.7109375" style="221" bestFit="1" customWidth="1"/>
    <col min="11270" max="11270" width="13.7109375" style="221" bestFit="1" customWidth="1"/>
    <col min="11271" max="11271" width="10.85546875" style="221" bestFit="1" customWidth="1"/>
    <col min="11272" max="11272" width="12.5703125" style="221" bestFit="1" customWidth="1"/>
    <col min="11273" max="11273" width="10.85546875" style="221" bestFit="1" customWidth="1"/>
    <col min="11274" max="11274" width="8.140625" style="221" customWidth="1"/>
    <col min="11275" max="11275" width="8.85546875" style="221" customWidth="1"/>
    <col min="11276" max="11276" width="11.28515625" style="221" customWidth="1"/>
    <col min="11277" max="11277" width="14.42578125" style="221" customWidth="1"/>
    <col min="11278" max="11520" width="9.140625" style="221"/>
    <col min="11521" max="11521" width="36.42578125" style="221" customWidth="1"/>
    <col min="11522" max="11522" width="11.28515625" style="221" customWidth="1"/>
    <col min="11523" max="11523" width="17" style="221" customWidth="1"/>
    <col min="11524" max="11524" width="19.140625" style="221" customWidth="1"/>
    <col min="11525" max="11525" width="12.7109375" style="221" bestFit="1" customWidth="1"/>
    <col min="11526" max="11526" width="13.7109375" style="221" bestFit="1" customWidth="1"/>
    <col min="11527" max="11527" width="10.85546875" style="221" bestFit="1" customWidth="1"/>
    <col min="11528" max="11528" width="12.5703125" style="221" bestFit="1" customWidth="1"/>
    <col min="11529" max="11529" width="10.85546875" style="221" bestFit="1" customWidth="1"/>
    <col min="11530" max="11530" width="8.140625" style="221" customWidth="1"/>
    <col min="11531" max="11531" width="8.85546875" style="221" customWidth="1"/>
    <col min="11532" max="11532" width="11.28515625" style="221" customWidth="1"/>
    <col min="11533" max="11533" width="14.42578125" style="221" customWidth="1"/>
    <col min="11534" max="11776" width="9.140625" style="221"/>
    <col min="11777" max="11777" width="36.42578125" style="221" customWidth="1"/>
    <col min="11778" max="11778" width="11.28515625" style="221" customWidth="1"/>
    <col min="11779" max="11779" width="17" style="221" customWidth="1"/>
    <col min="11780" max="11780" width="19.140625" style="221" customWidth="1"/>
    <col min="11781" max="11781" width="12.7109375" style="221" bestFit="1" customWidth="1"/>
    <col min="11782" max="11782" width="13.7109375" style="221" bestFit="1" customWidth="1"/>
    <col min="11783" max="11783" width="10.85546875" style="221" bestFit="1" customWidth="1"/>
    <col min="11784" max="11784" width="12.5703125" style="221" bestFit="1" customWidth="1"/>
    <col min="11785" max="11785" width="10.85546875" style="221" bestFit="1" customWidth="1"/>
    <col min="11786" max="11786" width="8.140625" style="221" customWidth="1"/>
    <col min="11787" max="11787" width="8.85546875" style="221" customWidth="1"/>
    <col min="11788" max="11788" width="11.28515625" style="221" customWidth="1"/>
    <col min="11789" max="11789" width="14.42578125" style="221" customWidth="1"/>
    <col min="11790" max="12032" width="9.140625" style="221"/>
    <col min="12033" max="12033" width="36.42578125" style="221" customWidth="1"/>
    <col min="12034" max="12034" width="11.28515625" style="221" customWidth="1"/>
    <col min="12035" max="12035" width="17" style="221" customWidth="1"/>
    <col min="12036" max="12036" width="19.140625" style="221" customWidth="1"/>
    <col min="12037" max="12037" width="12.7109375" style="221" bestFit="1" customWidth="1"/>
    <col min="12038" max="12038" width="13.7109375" style="221" bestFit="1" customWidth="1"/>
    <col min="12039" max="12039" width="10.85546875" style="221" bestFit="1" customWidth="1"/>
    <col min="12040" max="12040" width="12.5703125" style="221" bestFit="1" customWidth="1"/>
    <col min="12041" max="12041" width="10.85546875" style="221" bestFit="1" customWidth="1"/>
    <col min="12042" max="12042" width="8.140625" style="221" customWidth="1"/>
    <col min="12043" max="12043" width="8.85546875" style="221" customWidth="1"/>
    <col min="12044" max="12044" width="11.28515625" style="221" customWidth="1"/>
    <col min="12045" max="12045" width="14.42578125" style="221" customWidth="1"/>
    <col min="12046" max="12288" width="9.140625" style="221"/>
    <col min="12289" max="12289" width="36.42578125" style="221" customWidth="1"/>
    <col min="12290" max="12290" width="11.28515625" style="221" customWidth="1"/>
    <col min="12291" max="12291" width="17" style="221" customWidth="1"/>
    <col min="12292" max="12292" width="19.140625" style="221" customWidth="1"/>
    <col min="12293" max="12293" width="12.7109375" style="221" bestFit="1" customWidth="1"/>
    <col min="12294" max="12294" width="13.7109375" style="221" bestFit="1" customWidth="1"/>
    <col min="12295" max="12295" width="10.85546875" style="221" bestFit="1" customWidth="1"/>
    <col min="12296" max="12296" width="12.5703125" style="221" bestFit="1" customWidth="1"/>
    <col min="12297" max="12297" width="10.85546875" style="221" bestFit="1" customWidth="1"/>
    <col min="12298" max="12298" width="8.140625" style="221" customWidth="1"/>
    <col min="12299" max="12299" width="8.85546875" style="221" customWidth="1"/>
    <col min="12300" max="12300" width="11.28515625" style="221" customWidth="1"/>
    <col min="12301" max="12301" width="14.42578125" style="221" customWidth="1"/>
    <col min="12302" max="12544" width="9.140625" style="221"/>
    <col min="12545" max="12545" width="36.42578125" style="221" customWidth="1"/>
    <col min="12546" max="12546" width="11.28515625" style="221" customWidth="1"/>
    <col min="12547" max="12547" width="17" style="221" customWidth="1"/>
    <col min="12548" max="12548" width="19.140625" style="221" customWidth="1"/>
    <col min="12549" max="12549" width="12.7109375" style="221" bestFit="1" customWidth="1"/>
    <col min="12550" max="12550" width="13.7109375" style="221" bestFit="1" customWidth="1"/>
    <col min="12551" max="12551" width="10.85546875" style="221" bestFit="1" customWidth="1"/>
    <col min="12552" max="12552" width="12.5703125" style="221" bestFit="1" customWidth="1"/>
    <col min="12553" max="12553" width="10.85546875" style="221" bestFit="1" customWidth="1"/>
    <col min="12554" max="12554" width="8.140625" style="221" customWidth="1"/>
    <col min="12555" max="12555" width="8.85546875" style="221" customWidth="1"/>
    <col min="12556" max="12556" width="11.28515625" style="221" customWidth="1"/>
    <col min="12557" max="12557" width="14.42578125" style="221" customWidth="1"/>
    <col min="12558" max="12800" width="9.140625" style="221"/>
    <col min="12801" max="12801" width="36.42578125" style="221" customWidth="1"/>
    <col min="12802" max="12802" width="11.28515625" style="221" customWidth="1"/>
    <col min="12803" max="12803" width="17" style="221" customWidth="1"/>
    <col min="12804" max="12804" width="19.140625" style="221" customWidth="1"/>
    <col min="12805" max="12805" width="12.7109375" style="221" bestFit="1" customWidth="1"/>
    <col min="12806" max="12806" width="13.7109375" style="221" bestFit="1" customWidth="1"/>
    <col min="12807" max="12807" width="10.85546875" style="221" bestFit="1" customWidth="1"/>
    <col min="12808" max="12808" width="12.5703125" style="221" bestFit="1" customWidth="1"/>
    <col min="12809" max="12809" width="10.85546875" style="221" bestFit="1" customWidth="1"/>
    <col min="12810" max="12810" width="8.140625" style="221" customWidth="1"/>
    <col min="12811" max="12811" width="8.85546875" style="221" customWidth="1"/>
    <col min="12812" max="12812" width="11.28515625" style="221" customWidth="1"/>
    <col min="12813" max="12813" width="14.42578125" style="221" customWidth="1"/>
    <col min="12814" max="13056" width="9.140625" style="221"/>
    <col min="13057" max="13057" width="36.42578125" style="221" customWidth="1"/>
    <col min="13058" max="13058" width="11.28515625" style="221" customWidth="1"/>
    <col min="13059" max="13059" width="17" style="221" customWidth="1"/>
    <col min="13060" max="13060" width="19.140625" style="221" customWidth="1"/>
    <col min="13061" max="13061" width="12.7109375" style="221" bestFit="1" customWidth="1"/>
    <col min="13062" max="13062" width="13.7109375" style="221" bestFit="1" customWidth="1"/>
    <col min="13063" max="13063" width="10.85546875" style="221" bestFit="1" customWidth="1"/>
    <col min="13064" max="13064" width="12.5703125" style="221" bestFit="1" customWidth="1"/>
    <col min="13065" max="13065" width="10.85546875" style="221" bestFit="1" customWidth="1"/>
    <col min="13066" max="13066" width="8.140625" style="221" customWidth="1"/>
    <col min="13067" max="13067" width="8.85546875" style="221" customWidth="1"/>
    <col min="13068" max="13068" width="11.28515625" style="221" customWidth="1"/>
    <col min="13069" max="13069" width="14.42578125" style="221" customWidth="1"/>
    <col min="13070" max="13312" width="9.140625" style="221"/>
    <col min="13313" max="13313" width="36.42578125" style="221" customWidth="1"/>
    <col min="13314" max="13314" width="11.28515625" style="221" customWidth="1"/>
    <col min="13315" max="13315" width="17" style="221" customWidth="1"/>
    <col min="13316" max="13316" width="19.140625" style="221" customWidth="1"/>
    <col min="13317" max="13317" width="12.7109375" style="221" bestFit="1" customWidth="1"/>
    <col min="13318" max="13318" width="13.7109375" style="221" bestFit="1" customWidth="1"/>
    <col min="13319" max="13319" width="10.85546875" style="221" bestFit="1" customWidth="1"/>
    <col min="13320" max="13320" width="12.5703125" style="221" bestFit="1" customWidth="1"/>
    <col min="13321" max="13321" width="10.85546875" style="221" bestFit="1" customWidth="1"/>
    <col min="13322" max="13322" width="8.140625" style="221" customWidth="1"/>
    <col min="13323" max="13323" width="8.85546875" style="221" customWidth="1"/>
    <col min="13324" max="13324" width="11.28515625" style="221" customWidth="1"/>
    <col min="13325" max="13325" width="14.42578125" style="221" customWidth="1"/>
    <col min="13326" max="13568" width="9.140625" style="221"/>
    <col min="13569" max="13569" width="36.42578125" style="221" customWidth="1"/>
    <col min="13570" max="13570" width="11.28515625" style="221" customWidth="1"/>
    <col min="13571" max="13571" width="17" style="221" customWidth="1"/>
    <col min="13572" max="13572" width="19.140625" style="221" customWidth="1"/>
    <col min="13573" max="13573" width="12.7109375" style="221" bestFit="1" customWidth="1"/>
    <col min="13574" max="13574" width="13.7109375" style="221" bestFit="1" customWidth="1"/>
    <col min="13575" max="13575" width="10.85546875" style="221" bestFit="1" customWidth="1"/>
    <col min="13576" max="13576" width="12.5703125" style="221" bestFit="1" customWidth="1"/>
    <col min="13577" max="13577" width="10.85546875" style="221" bestFit="1" customWidth="1"/>
    <col min="13578" max="13578" width="8.140625" style="221" customWidth="1"/>
    <col min="13579" max="13579" width="8.85546875" style="221" customWidth="1"/>
    <col min="13580" max="13580" width="11.28515625" style="221" customWidth="1"/>
    <col min="13581" max="13581" width="14.42578125" style="221" customWidth="1"/>
    <col min="13582" max="13824" width="9.140625" style="221"/>
    <col min="13825" max="13825" width="36.42578125" style="221" customWidth="1"/>
    <col min="13826" max="13826" width="11.28515625" style="221" customWidth="1"/>
    <col min="13827" max="13827" width="17" style="221" customWidth="1"/>
    <col min="13828" max="13828" width="19.140625" style="221" customWidth="1"/>
    <col min="13829" max="13829" width="12.7109375" style="221" bestFit="1" customWidth="1"/>
    <col min="13830" max="13830" width="13.7109375" style="221" bestFit="1" customWidth="1"/>
    <col min="13831" max="13831" width="10.85546875" style="221" bestFit="1" customWidth="1"/>
    <col min="13832" max="13832" width="12.5703125" style="221" bestFit="1" customWidth="1"/>
    <col min="13833" max="13833" width="10.85546875" style="221" bestFit="1" customWidth="1"/>
    <col min="13834" max="13834" width="8.140625" style="221" customWidth="1"/>
    <col min="13835" max="13835" width="8.85546875" style="221" customWidth="1"/>
    <col min="13836" max="13836" width="11.28515625" style="221" customWidth="1"/>
    <col min="13837" max="13837" width="14.42578125" style="221" customWidth="1"/>
    <col min="13838" max="14080" width="9.140625" style="221"/>
    <col min="14081" max="14081" width="36.42578125" style="221" customWidth="1"/>
    <col min="14082" max="14082" width="11.28515625" style="221" customWidth="1"/>
    <col min="14083" max="14083" width="17" style="221" customWidth="1"/>
    <col min="14084" max="14084" width="19.140625" style="221" customWidth="1"/>
    <col min="14085" max="14085" width="12.7109375" style="221" bestFit="1" customWidth="1"/>
    <col min="14086" max="14086" width="13.7109375" style="221" bestFit="1" customWidth="1"/>
    <col min="14087" max="14087" width="10.85546875" style="221" bestFit="1" customWidth="1"/>
    <col min="14088" max="14088" width="12.5703125" style="221" bestFit="1" customWidth="1"/>
    <col min="14089" max="14089" width="10.85546875" style="221" bestFit="1" customWidth="1"/>
    <col min="14090" max="14090" width="8.140625" style="221" customWidth="1"/>
    <col min="14091" max="14091" width="8.85546875" style="221" customWidth="1"/>
    <col min="14092" max="14092" width="11.28515625" style="221" customWidth="1"/>
    <col min="14093" max="14093" width="14.42578125" style="221" customWidth="1"/>
    <col min="14094" max="14336" width="9.140625" style="221"/>
    <col min="14337" max="14337" width="36.42578125" style="221" customWidth="1"/>
    <col min="14338" max="14338" width="11.28515625" style="221" customWidth="1"/>
    <col min="14339" max="14339" width="17" style="221" customWidth="1"/>
    <col min="14340" max="14340" width="19.140625" style="221" customWidth="1"/>
    <col min="14341" max="14341" width="12.7109375" style="221" bestFit="1" customWidth="1"/>
    <col min="14342" max="14342" width="13.7109375" style="221" bestFit="1" customWidth="1"/>
    <col min="14343" max="14343" width="10.85546875" style="221" bestFit="1" customWidth="1"/>
    <col min="14344" max="14344" width="12.5703125" style="221" bestFit="1" customWidth="1"/>
    <col min="14345" max="14345" width="10.85546875" style="221" bestFit="1" customWidth="1"/>
    <col min="14346" max="14346" width="8.140625" style="221" customWidth="1"/>
    <col min="14347" max="14347" width="8.85546875" style="221" customWidth="1"/>
    <col min="14348" max="14348" width="11.28515625" style="221" customWidth="1"/>
    <col min="14349" max="14349" width="14.42578125" style="221" customWidth="1"/>
    <col min="14350" max="14592" width="9.140625" style="221"/>
    <col min="14593" max="14593" width="36.42578125" style="221" customWidth="1"/>
    <col min="14594" max="14594" width="11.28515625" style="221" customWidth="1"/>
    <col min="14595" max="14595" width="17" style="221" customWidth="1"/>
    <col min="14596" max="14596" width="19.140625" style="221" customWidth="1"/>
    <col min="14597" max="14597" width="12.7109375" style="221" bestFit="1" customWidth="1"/>
    <col min="14598" max="14598" width="13.7109375" style="221" bestFit="1" customWidth="1"/>
    <col min="14599" max="14599" width="10.85546875" style="221" bestFit="1" customWidth="1"/>
    <col min="14600" max="14600" width="12.5703125" style="221" bestFit="1" customWidth="1"/>
    <col min="14601" max="14601" width="10.85546875" style="221" bestFit="1" customWidth="1"/>
    <col min="14602" max="14602" width="8.140625" style="221" customWidth="1"/>
    <col min="14603" max="14603" width="8.85546875" style="221" customWidth="1"/>
    <col min="14604" max="14604" width="11.28515625" style="221" customWidth="1"/>
    <col min="14605" max="14605" width="14.42578125" style="221" customWidth="1"/>
    <col min="14606" max="14848" width="9.140625" style="221"/>
    <col min="14849" max="14849" width="36.42578125" style="221" customWidth="1"/>
    <col min="14850" max="14850" width="11.28515625" style="221" customWidth="1"/>
    <col min="14851" max="14851" width="17" style="221" customWidth="1"/>
    <col min="14852" max="14852" width="19.140625" style="221" customWidth="1"/>
    <col min="14853" max="14853" width="12.7109375" style="221" bestFit="1" customWidth="1"/>
    <col min="14854" max="14854" width="13.7109375" style="221" bestFit="1" customWidth="1"/>
    <col min="14855" max="14855" width="10.85546875" style="221" bestFit="1" customWidth="1"/>
    <col min="14856" max="14856" width="12.5703125" style="221" bestFit="1" customWidth="1"/>
    <col min="14857" max="14857" width="10.85546875" style="221" bestFit="1" customWidth="1"/>
    <col min="14858" max="14858" width="8.140625" style="221" customWidth="1"/>
    <col min="14859" max="14859" width="8.85546875" style="221" customWidth="1"/>
    <col min="14860" max="14860" width="11.28515625" style="221" customWidth="1"/>
    <col min="14861" max="14861" width="14.42578125" style="221" customWidth="1"/>
    <col min="14862" max="15104" width="9.140625" style="221"/>
    <col min="15105" max="15105" width="36.42578125" style="221" customWidth="1"/>
    <col min="15106" max="15106" width="11.28515625" style="221" customWidth="1"/>
    <col min="15107" max="15107" width="17" style="221" customWidth="1"/>
    <col min="15108" max="15108" width="19.140625" style="221" customWidth="1"/>
    <col min="15109" max="15109" width="12.7109375" style="221" bestFit="1" customWidth="1"/>
    <col min="15110" max="15110" width="13.7109375" style="221" bestFit="1" customWidth="1"/>
    <col min="15111" max="15111" width="10.85546875" style="221" bestFit="1" customWidth="1"/>
    <col min="15112" max="15112" width="12.5703125" style="221" bestFit="1" customWidth="1"/>
    <col min="15113" max="15113" width="10.85546875" style="221" bestFit="1" customWidth="1"/>
    <col min="15114" max="15114" width="8.140625" style="221" customWidth="1"/>
    <col min="15115" max="15115" width="8.85546875" style="221" customWidth="1"/>
    <col min="15116" max="15116" width="11.28515625" style="221" customWidth="1"/>
    <col min="15117" max="15117" width="14.42578125" style="221" customWidth="1"/>
    <col min="15118" max="15360" width="9.140625" style="221"/>
    <col min="15361" max="15361" width="36.42578125" style="221" customWidth="1"/>
    <col min="15362" max="15362" width="11.28515625" style="221" customWidth="1"/>
    <col min="15363" max="15363" width="17" style="221" customWidth="1"/>
    <col min="15364" max="15364" width="19.140625" style="221" customWidth="1"/>
    <col min="15365" max="15365" width="12.7109375" style="221" bestFit="1" customWidth="1"/>
    <col min="15366" max="15366" width="13.7109375" style="221" bestFit="1" customWidth="1"/>
    <col min="15367" max="15367" width="10.85546875" style="221" bestFit="1" customWidth="1"/>
    <col min="15368" max="15368" width="12.5703125" style="221" bestFit="1" customWidth="1"/>
    <col min="15369" max="15369" width="10.85546875" style="221" bestFit="1" customWidth="1"/>
    <col min="15370" max="15370" width="8.140625" style="221" customWidth="1"/>
    <col min="15371" max="15371" width="8.85546875" style="221" customWidth="1"/>
    <col min="15372" max="15372" width="11.28515625" style="221" customWidth="1"/>
    <col min="15373" max="15373" width="14.42578125" style="221" customWidth="1"/>
    <col min="15374" max="15616" width="9.140625" style="221"/>
    <col min="15617" max="15617" width="36.42578125" style="221" customWidth="1"/>
    <col min="15618" max="15618" width="11.28515625" style="221" customWidth="1"/>
    <col min="15619" max="15619" width="17" style="221" customWidth="1"/>
    <col min="15620" max="15620" width="19.140625" style="221" customWidth="1"/>
    <col min="15621" max="15621" width="12.7109375" style="221" bestFit="1" customWidth="1"/>
    <col min="15622" max="15622" width="13.7109375" style="221" bestFit="1" customWidth="1"/>
    <col min="15623" max="15623" width="10.85546875" style="221" bestFit="1" customWidth="1"/>
    <col min="15624" max="15624" width="12.5703125" style="221" bestFit="1" customWidth="1"/>
    <col min="15625" max="15625" width="10.85546875" style="221" bestFit="1" customWidth="1"/>
    <col min="15626" max="15626" width="8.140625" style="221" customWidth="1"/>
    <col min="15627" max="15627" width="8.85546875" style="221" customWidth="1"/>
    <col min="15628" max="15628" width="11.28515625" style="221" customWidth="1"/>
    <col min="15629" max="15629" width="14.42578125" style="221" customWidth="1"/>
    <col min="15630" max="15872" width="9.140625" style="221"/>
    <col min="15873" max="15873" width="36.42578125" style="221" customWidth="1"/>
    <col min="15874" max="15874" width="11.28515625" style="221" customWidth="1"/>
    <col min="15875" max="15875" width="17" style="221" customWidth="1"/>
    <col min="15876" max="15876" width="19.140625" style="221" customWidth="1"/>
    <col min="15877" max="15877" width="12.7109375" style="221" bestFit="1" customWidth="1"/>
    <col min="15878" max="15878" width="13.7109375" style="221" bestFit="1" customWidth="1"/>
    <col min="15879" max="15879" width="10.85546875" style="221" bestFit="1" customWidth="1"/>
    <col min="15880" max="15880" width="12.5703125" style="221" bestFit="1" customWidth="1"/>
    <col min="15881" max="15881" width="10.85546875" style="221" bestFit="1" customWidth="1"/>
    <col min="15882" max="15882" width="8.140625" style="221" customWidth="1"/>
    <col min="15883" max="15883" width="8.85546875" style="221" customWidth="1"/>
    <col min="15884" max="15884" width="11.28515625" style="221" customWidth="1"/>
    <col min="15885" max="15885" width="14.42578125" style="221" customWidth="1"/>
    <col min="15886" max="16128" width="9.140625" style="221"/>
    <col min="16129" max="16129" width="36.42578125" style="221" customWidth="1"/>
    <col min="16130" max="16130" width="11.28515625" style="221" customWidth="1"/>
    <col min="16131" max="16131" width="17" style="221" customWidth="1"/>
    <col min="16132" max="16132" width="19.140625" style="221" customWidth="1"/>
    <col min="16133" max="16133" width="12.7109375" style="221" bestFit="1" customWidth="1"/>
    <col min="16134" max="16134" width="13.7109375" style="221" bestFit="1" customWidth="1"/>
    <col min="16135" max="16135" width="10.85546875" style="221" bestFit="1" customWidth="1"/>
    <col min="16136" max="16136" width="12.5703125" style="221" bestFit="1" customWidth="1"/>
    <col min="16137" max="16137" width="10.85546875" style="221" bestFit="1" customWidth="1"/>
    <col min="16138" max="16138" width="8.140625" style="221" customWidth="1"/>
    <col min="16139" max="16139" width="8.85546875" style="221" customWidth="1"/>
    <col min="16140" max="16140" width="11.28515625" style="221" customWidth="1"/>
    <col min="16141" max="16141" width="14.42578125" style="221" customWidth="1"/>
    <col min="16142" max="16384" width="9.140625" style="221"/>
  </cols>
  <sheetData>
    <row r="1" spans="1:13"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ht="15" customHeight="1">
      <c r="A2" s="750" t="s">
        <v>155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</row>
    <row r="3" spans="1:13" ht="15" customHeight="1">
      <c r="A3" s="750" t="s">
        <v>308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</row>
    <row r="4" spans="1:13" ht="15">
      <c r="A4" s="462" t="s">
        <v>585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</row>
    <row r="5" spans="1:13" ht="38.25">
      <c r="A5" s="375" t="s">
        <v>309</v>
      </c>
      <c r="B5" s="374" t="s">
        <v>489</v>
      </c>
      <c r="C5" s="375" t="s">
        <v>310</v>
      </c>
      <c r="D5" s="374">
        <v>10</v>
      </c>
      <c r="E5" s="375" t="s">
        <v>275</v>
      </c>
      <c r="F5" s="374">
        <v>5042.4539999999997</v>
      </c>
      <c r="G5" s="375" t="s">
        <v>86</v>
      </c>
      <c r="H5" s="374">
        <f>80*10</f>
        <v>800</v>
      </c>
      <c r="I5" s="375"/>
      <c r="J5" s="375"/>
      <c r="K5" s="375"/>
      <c r="L5" s="375"/>
    </row>
    <row r="6" spans="1:13"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</row>
    <row r="7" spans="1:13" ht="35.25" customHeight="1">
      <c r="A7" s="375" t="s">
        <v>311</v>
      </c>
      <c r="B7" s="751" t="s">
        <v>595</v>
      </c>
      <c r="C7" s="751"/>
      <c r="D7" s="375" t="s">
        <v>313</v>
      </c>
      <c r="E7" s="751" t="s">
        <v>594</v>
      </c>
      <c r="F7" s="751"/>
      <c r="G7" s="375"/>
      <c r="H7" s="375"/>
      <c r="I7" s="375"/>
      <c r="J7" s="375"/>
      <c r="K7" s="375"/>
      <c r="L7" s="375"/>
    </row>
    <row r="8" spans="1:13"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</row>
    <row r="9" spans="1:13" ht="87.75" customHeight="1">
      <c r="A9" s="752" t="s">
        <v>314</v>
      </c>
      <c r="B9" s="753"/>
      <c r="C9" s="751" t="s">
        <v>593</v>
      </c>
      <c r="D9" s="751"/>
      <c r="E9" s="745" t="s">
        <v>592</v>
      </c>
      <c r="F9" s="751"/>
      <c r="G9" s="751"/>
      <c r="H9" s="375"/>
      <c r="I9" s="375"/>
      <c r="J9" s="375"/>
      <c r="K9" s="375"/>
      <c r="L9" s="375"/>
    </row>
    <row r="10" spans="1:13"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</row>
    <row r="11" spans="1:13" ht="32.25" customHeight="1">
      <c r="A11" s="232" t="s">
        <v>154</v>
      </c>
      <c r="B11" s="233">
        <v>22</v>
      </c>
      <c r="C11" s="375" t="s">
        <v>153</v>
      </c>
      <c r="D11" s="233">
        <v>22</v>
      </c>
      <c r="E11" s="375" t="s">
        <v>93</v>
      </c>
      <c r="F11" s="233">
        <v>82</v>
      </c>
      <c r="G11" s="375" t="s">
        <v>94</v>
      </c>
      <c r="H11" s="233">
        <v>11</v>
      </c>
      <c r="I11" s="375" t="s">
        <v>95</v>
      </c>
      <c r="J11" s="233">
        <v>123</v>
      </c>
      <c r="K11" s="375"/>
      <c r="L11" s="375"/>
    </row>
    <row r="12" spans="1:13" ht="25.5">
      <c r="A12" s="375" t="s">
        <v>152</v>
      </c>
      <c r="B12" s="375" t="s">
        <v>591</v>
      </c>
      <c r="C12" s="233">
        <v>1132</v>
      </c>
      <c r="D12" s="375" t="s">
        <v>41</v>
      </c>
      <c r="E12" s="233">
        <f>22+14+18+24+13</f>
        <v>91</v>
      </c>
      <c r="F12" s="375" t="s">
        <v>42</v>
      </c>
      <c r="G12" s="233">
        <v>4</v>
      </c>
      <c r="H12" s="375" t="s">
        <v>64</v>
      </c>
      <c r="I12" s="233">
        <f>+G12+E12+C12</f>
        <v>1227</v>
      </c>
      <c r="J12" s="375" t="s">
        <v>43</v>
      </c>
      <c r="K12" s="233">
        <f>44+6+26+13</f>
        <v>89</v>
      </c>
      <c r="L12" s="375" t="s">
        <v>119</v>
      </c>
      <c r="M12" s="234">
        <v>68</v>
      </c>
    </row>
    <row r="13" spans="1:13">
      <c r="A13" s="375" t="s">
        <v>151</v>
      </c>
      <c r="B13" s="375" t="s">
        <v>46</v>
      </c>
      <c r="C13" s="233">
        <v>3110</v>
      </c>
      <c r="D13" s="375" t="s">
        <v>47</v>
      </c>
      <c r="E13" s="233">
        <f>72+37+12+42+57+30</f>
        <v>250</v>
      </c>
      <c r="F13" s="375" t="s">
        <v>48</v>
      </c>
      <c r="G13" s="233">
        <v>12</v>
      </c>
      <c r="H13" s="375" t="s">
        <v>77</v>
      </c>
      <c r="I13" s="233">
        <f>+G13+E13+C13</f>
        <v>3372</v>
      </c>
      <c r="J13" s="232"/>
      <c r="K13" s="232"/>
      <c r="L13" s="232"/>
    </row>
    <row r="14" spans="1:13">
      <c r="B14" s="375" t="s">
        <v>49</v>
      </c>
      <c r="C14" s="233">
        <v>3205</v>
      </c>
      <c r="D14" s="375" t="s">
        <v>50</v>
      </c>
      <c r="E14" s="233">
        <f>78+36+14+37+53+35</f>
        <v>253</v>
      </c>
      <c r="F14" s="375" t="s">
        <v>51</v>
      </c>
      <c r="G14" s="233">
        <v>9</v>
      </c>
      <c r="H14" s="375" t="s">
        <v>76</v>
      </c>
      <c r="I14" s="233">
        <f>+G14+E14+C14</f>
        <v>3467</v>
      </c>
      <c r="J14" s="232"/>
      <c r="K14" s="232"/>
      <c r="L14" s="232"/>
    </row>
    <row r="15" spans="1:13">
      <c r="B15" s="375"/>
      <c r="C15" s="375"/>
      <c r="D15" s="375"/>
      <c r="E15" s="375"/>
      <c r="F15" s="375"/>
      <c r="G15" s="375"/>
      <c r="H15" s="375"/>
      <c r="I15" s="375"/>
      <c r="J15" s="375"/>
      <c r="K15" s="375"/>
      <c r="L15" s="375"/>
    </row>
    <row r="16" spans="1:13" ht="30" customHeight="1">
      <c r="A16" s="746" t="s">
        <v>75</v>
      </c>
      <c r="B16" s="746"/>
      <c r="C16" s="375"/>
      <c r="D16" s="375"/>
      <c r="E16" s="375"/>
      <c r="F16" s="375"/>
      <c r="G16" s="375"/>
      <c r="H16" s="375"/>
      <c r="I16" s="375"/>
      <c r="J16" s="375"/>
      <c r="K16" s="375"/>
      <c r="L16" s="375"/>
    </row>
    <row r="17" spans="1:13" ht="15" customHeight="1">
      <c r="A17" s="747" t="s">
        <v>150</v>
      </c>
      <c r="B17" s="747" t="s">
        <v>149</v>
      </c>
      <c r="C17" s="747" t="s">
        <v>55</v>
      </c>
      <c r="D17" s="748" t="s">
        <v>590</v>
      </c>
      <c r="E17" s="748" t="s">
        <v>589</v>
      </c>
      <c r="F17" s="745" t="s">
        <v>315</v>
      </c>
      <c r="G17" s="745"/>
      <c r="H17" s="745"/>
      <c r="I17" s="745"/>
      <c r="J17" s="745"/>
      <c r="K17" s="745"/>
      <c r="L17" s="745"/>
      <c r="M17" s="231"/>
    </row>
    <row r="18" spans="1:13" ht="25.5" customHeight="1">
      <c r="A18" s="747"/>
      <c r="B18" s="747"/>
      <c r="C18" s="747"/>
      <c r="D18" s="749"/>
      <c r="E18" s="749"/>
      <c r="F18" s="229" t="s">
        <v>60</v>
      </c>
      <c r="G18" s="229" t="s">
        <v>61</v>
      </c>
      <c r="H18" s="229" t="s">
        <v>62</v>
      </c>
      <c r="I18" s="230" t="s">
        <v>63</v>
      </c>
      <c r="J18" s="229" t="s">
        <v>588</v>
      </c>
      <c r="K18" s="229" t="s">
        <v>587</v>
      </c>
      <c r="L18" s="229" t="s">
        <v>586</v>
      </c>
      <c r="M18" s="228" t="s">
        <v>316</v>
      </c>
    </row>
    <row r="19" spans="1:13" ht="25.5">
      <c r="A19" s="224" t="s">
        <v>318</v>
      </c>
      <c r="B19" s="227">
        <v>500</v>
      </c>
      <c r="C19" s="226" t="s">
        <v>248</v>
      </c>
      <c r="D19" s="405">
        <f>ROUND((+B19*F5),0)/100000</f>
        <v>25.21227</v>
      </c>
      <c r="E19" s="405">
        <f>1692300/100000</f>
        <v>16.922999999999998</v>
      </c>
      <c r="F19" s="405">
        <v>0</v>
      </c>
      <c r="G19" s="405">
        <f>ROUND((526250+386752),0)/100000</f>
        <v>9.13002</v>
      </c>
      <c r="H19" s="405">
        <f>520968/100000</f>
        <v>5.2096799999999996</v>
      </c>
      <c r="I19" s="405">
        <f>275306/100000</f>
        <v>2.7530600000000001</v>
      </c>
      <c r="J19" s="405"/>
      <c r="K19" s="405"/>
      <c r="L19" s="405"/>
      <c r="M19" s="406">
        <f>+G19+H19+I19+J19+K19+L19</f>
        <v>17.092760000000002</v>
      </c>
    </row>
    <row r="20" spans="1:13">
      <c r="A20" s="224" t="s">
        <v>320</v>
      </c>
      <c r="B20" s="223">
        <v>360</v>
      </c>
      <c r="C20" s="225" t="s">
        <v>248</v>
      </c>
      <c r="D20" s="405">
        <f>ROUND((+B20*F5),0)/100000</f>
        <v>18.152830000000002</v>
      </c>
      <c r="E20" s="405">
        <f>460000/100000</f>
        <v>4.5999999999999996</v>
      </c>
      <c r="F20" s="405">
        <v>0</v>
      </c>
      <c r="G20" s="405">
        <v>0</v>
      </c>
      <c r="H20" s="405">
        <f>86734/100000</f>
        <v>0.86734</v>
      </c>
      <c r="I20" s="405">
        <f>334680/100000</f>
        <v>3.3468</v>
      </c>
      <c r="J20" s="405"/>
      <c r="K20" s="405"/>
      <c r="L20" s="405"/>
      <c r="M20" s="406">
        <f t="shared" ref="M20:M26" si="0">+G20+H20+I20+J20+K20+L20</f>
        <v>4.2141400000000004</v>
      </c>
    </row>
    <row r="21" spans="1:13">
      <c r="A21" s="224" t="s">
        <v>321</v>
      </c>
      <c r="B21" s="223">
        <v>8.4</v>
      </c>
      <c r="C21" s="223" t="s">
        <v>242</v>
      </c>
      <c r="D21" s="405">
        <f>1086032/100000+8.4+23.1</f>
        <v>42.360320000000002</v>
      </c>
      <c r="E21" s="405">
        <f>1086032/100000</f>
        <v>10.86032</v>
      </c>
      <c r="F21" s="405">
        <v>0.17759</v>
      </c>
      <c r="G21" s="405">
        <f>280942/100000</f>
        <v>2.8094199999999998</v>
      </c>
      <c r="H21" s="405">
        <f>303593/100000</f>
        <v>3.03593</v>
      </c>
      <c r="I21" s="405">
        <f>391448/100000</f>
        <v>3.9144800000000002</v>
      </c>
      <c r="J21" s="405"/>
      <c r="K21" s="405"/>
      <c r="L21" s="405"/>
      <c r="M21" s="406">
        <f t="shared" si="0"/>
        <v>9.7598300000000009</v>
      </c>
    </row>
    <row r="22" spans="1:13">
      <c r="A22" s="224" t="s">
        <v>246</v>
      </c>
      <c r="B22" s="223">
        <v>0.84</v>
      </c>
      <c r="C22" s="223" t="s">
        <v>242</v>
      </c>
      <c r="D22" s="405">
        <f>358442/100000+0.96+2.64-0.66-0.24</f>
        <v>6.2844200000000008</v>
      </c>
      <c r="E22" s="405">
        <f>358442/100000</f>
        <v>3.5844200000000002</v>
      </c>
      <c r="F22" s="405">
        <f>7104/100000</f>
        <v>7.1040000000000006E-2</v>
      </c>
      <c r="G22" s="405">
        <f>112382/100000</f>
        <v>1.12382</v>
      </c>
      <c r="H22" s="405">
        <f>120085/100000</f>
        <v>1.20085</v>
      </c>
      <c r="I22" s="405">
        <f>114218/100000</f>
        <v>1.14218</v>
      </c>
      <c r="J22" s="405"/>
      <c r="K22" s="405"/>
      <c r="L22" s="405"/>
      <c r="M22" s="406">
        <f t="shared" si="0"/>
        <v>3.46685</v>
      </c>
    </row>
    <row r="23" spans="1:13" ht="25.5">
      <c r="A23" s="224" t="s">
        <v>322</v>
      </c>
      <c r="B23" s="223">
        <v>3.6</v>
      </c>
      <c r="C23" s="223" t="s">
        <v>242</v>
      </c>
      <c r="D23" s="405">
        <f>657574/100000+3.6+9.9</f>
        <v>20.07574</v>
      </c>
      <c r="E23" s="405">
        <f>657574/100000</f>
        <v>6.5757399999999997</v>
      </c>
      <c r="F23" s="405">
        <v>0</v>
      </c>
      <c r="G23" s="405">
        <f>222821/100000</f>
        <v>2.2282099999999998</v>
      </c>
      <c r="H23" s="405">
        <f>210123/100000</f>
        <v>2.1012300000000002</v>
      </c>
      <c r="I23" s="405">
        <f>207179/100000</f>
        <v>2.07179</v>
      </c>
      <c r="J23" s="405"/>
      <c r="K23" s="405"/>
      <c r="L23" s="405"/>
      <c r="M23" s="406">
        <f t="shared" si="0"/>
        <v>6.40123</v>
      </c>
    </row>
    <row r="24" spans="1:13" ht="25.5">
      <c r="A24" s="224" t="s">
        <v>323</v>
      </c>
      <c r="B24" s="223">
        <v>0.24</v>
      </c>
      <c r="C24" s="223" t="s">
        <v>242</v>
      </c>
      <c r="D24" s="405">
        <f>68575/100000+0.66+0.24</f>
        <v>1.58575</v>
      </c>
      <c r="E24" s="405">
        <f>68575/100000</f>
        <v>0.68574999999999997</v>
      </c>
      <c r="F24" s="405">
        <f>2757/100000</f>
        <v>2.7570000000000001E-2</v>
      </c>
      <c r="G24" s="405">
        <f>24000/100000</f>
        <v>0.24</v>
      </c>
      <c r="H24" s="405">
        <f>24000/100000</f>
        <v>0.24</v>
      </c>
      <c r="I24" s="405">
        <v>0.24</v>
      </c>
      <c r="J24" s="405"/>
      <c r="K24" s="405"/>
      <c r="L24" s="405"/>
      <c r="M24" s="406">
        <f t="shared" si="0"/>
        <v>0.72</v>
      </c>
    </row>
    <row r="25" spans="1:13">
      <c r="A25" s="224" t="s">
        <v>324</v>
      </c>
      <c r="B25" s="223">
        <v>0.24</v>
      </c>
      <c r="C25" s="223" t="s">
        <v>242</v>
      </c>
      <c r="D25" s="405">
        <f>97113/100000</f>
        <v>0.97113000000000005</v>
      </c>
      <c r="E25" s="405">
        <f>97113/100000</f>
        <v>0.97113000000000005</v>
      </c>
      <c r="F25" s="405">
        <f>1929/100000</f>
        <v>1.9290000000000002E-2</v>
      </c>
      <c r="G25" s="405">
        <f>29769/100000</f>
        <v>0.29769000000000001</v>
      </c>
      <c r="H25" s="405">
        <f>35067/100000</f>
        <v>0.35066999999999998</v>
      </c>
      <c r="I25" s="405">
        <v>0.37113000000000002</v>
      </c>
      <c r="J25" s="405"/>
      <c r="K25" s="405"/>
      <c r="L25" s="405"/>
      <c r="M25" s="406">
        <f t="shared" si="0"/>
        <v>1.01949</v>
      </c>
    </row>
    <row r="26" spans="1:13">
      <c r="A26" s="224" t="s">
        <v>113</v>
      </c>
      <c r="B26" s="223">
        <v>0.2</v>
      </c>
      <c r="C26" s="223" t="s">
        <v>241</v>
      </c>
      <c r="D26" s="405">
        <v>0.2</v>
      </c>
      <c r="E26" s="405">
        <v>0.2</v>
      </c>
      <c r="F26" s="405">
        <v>0</v>
      </c>
      <c r="G26" s="405">
        <f>22500/100000</f>
        <v>0.22500000000000001</v>
      </c>
      <c r="H26" s="405">
        <v>0</v>
      </c>
      <c r="I26" s="405">
        <v>0</v>
      </c>
      <c r="J26" s="405"/>
      <c r="K26" s="405"/>
      <c r="L26" s="405"/>
      <c r="M26" s="406">
        <f t="shared" si="0"/>
        <v>0.22500000000000001</v>
      </c>
    </row>
    <row r="27" spans="1:13">
      <c r="A27" s="376" t="s">
        <v>64</v>
      </c>
      <c r="B27" s="376"/>
      <c r="C27" s="376"/>
      <c r="D27" s="407">
        <f t="shared" ref="D27:M27" si="1">SUM(D19:D26)</f>
        <v>114.84246</v>
      </c>
      <c r="E27" s="407">
        <f t="shared" si="1"/>
        <v>44.400360000000006</v>
      </c>
      <c r="F27" s="407">
        <f t="shared" si="1"/>
        <v>0.29549000000000003</v>
      </c>
      <c r="G27" s="407">
        <f t="shared" si="1"/>
        <v>16.05416</v>
      </c>
      <c r="H27" s="407">
        <f t="shared" si="1"/>
        <v>13.005700000000001</v>
      </c>
      <c r="I27" s="407">
        <f t="shared" si="1"/>
        <v>13.839440000000002</v>
      </c>
      <c r="J27" s="407">
        <f t="shared" si="1"/>
        <v>0</v>
      </c>
      <c r="K27" s="407">
        <f t="shared" si="1"/>
        <v>0</v>
      </c>
      <c r="L27" s="407">
        <f t="shared" si="1"/>
        <v>0</v>
      </c>
      <c r="M27" s="407">
        <f t="shared" si="1"/>
        <v>42.899299999999997</v>
      </c>
    </row>
  </sheetData>
  <mergeCells count="14">
    <mergeCell ref="A2:M2"/>
    <mergeCell ref="A3:M3"/>
    <mergeCell ref="B7:C7"/>
    <mergeCell ref="E7:F7"/>
    <mergeCell ref="A9:B9"/>
    <mergeCell ref="C9:D9"/>
    <mergeCell ref="E9:G9"/>
    <mergeCell ref="F17:L17"/>
    <mergeCell ref="A16:B16"/>
    <mergeCell ref="A17:A18"/>
    <mergeCell ref="B17:B18"/>
    <mergeCell ref="C17:C18"/>
    <mergeCell ref="D17:D18"/>
    <mergeCell ref="E17:E18"/>
  </mergeCells>
  <hyperlinks>
    <hyperlink ref="A4" location="'Fact Sheet of VDC'!A1" display="&lt;&lt;Back"/>
  </hyperlinks>
  <printOptions horizontalCentered="1" verticalCentered="1"/>
  <pageMargins left="0.19685039370078741" right="0.27559055118110237" top="0.39370078740157483" bottom="0.43307086614173229" header="0.23622047244094491" footer="0.23622047244094491"/>
  <pageSetup scale="71" orientation="landscape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workbookViewId="0">
      <selection activeCell="A3" sqref="A3"/>
    </sheetView>
  </sheetViews>
  <sheetFormatPr defaultRowHeight="12.75"/>
  <cols>
    <col min="1" max="1" width="35.5703125" style="27" customWidth="1"/>
    <col min="2" max="2" width="13.85546875" style="27" customWidth="1"/>
    <col min="3" max="3" width="11.42578125" style="27" customWidth="1"/>
    <col min="4" max="4" width="10.140625" style="27" customWidth="1"/>
    <col min="5" max="7" width="11" style="27" customWidth="1"/>
    <col min="8" max="8" width="10.42578125" style="27" bestFit="1" customWidth="1"/>
    <col min="9" max="9" width="9.28515625" style="27" customWidth="1"/>
    <col min="10" max="11" width="9.140625" style="27"/>
    <col min="12" max="12" width="9.5703125" style="27" customWidth="1"/>
    <col min="13" max="13" width="9.140625" style="27"/>
    <col min="14" max="14" width="12.7109375" style="27" customWidth="1"/>
    <col min="15" max="15" width="10.5703125" style="27" customWidth="1"/>
    <col min="16" max="256" width="9.140625" style="27"/>
    <col min="257" max="257" width="35.5703125" style="27" customWidth="1"/>
    <col min="258" max="258" width="13.85546875" style="27" customWidth="1"/>
    <col min="259" max="259" width="11.42578125" style="27" customWidth="1"/>
    <col min="260" max="260" width="10.140625" style="27" customWidth="1"/>
    <col min="261" max="263" width="11" style="27" customWidth="1"/>
    <col min="264" max="264" width="10.42578125" style="27" bestFit="1" customWidth="1"/>
    <col min="265" max="265" width="9.28515625" style="27" customWidth="1"/>
    <col min="266" max="267" width="9.140625" style="27"/>
    <col min="268" max="268" width="9.5703125" style="27" customWidth="1"/>
    <col min="269" max="269" width="9.140625" style="27"/>
    <col min="270" max="270" width="12.7109375" style="27" customWidth="1"/>
    <col min="271" max="271" width="10.5703125" style="27" customWidth="1"/>
    <col min="272" max="512" width="9.140625" style="27"/>
    <col min="513" max="513" width="35.5703125" style="27" customWidth="1"/>
    <col min="514" max="514" width="13.85546875" style="27" customWidth="1"/>
    <col min="515" max="515" width="11.42578125" style="27" customWidth="1"/>
    <col min="516" max="516" width="10.140625" style="27" customWidth="1"/>
    <col min="517" max="519" width="11" style="27" customWidth="1"/>
    <col min="520" max="520" width="10.42578125" style="27" bestFit="1" customWidth="1"/>
    <col min="521" max="521" width="9.28515625" style="27" customWidth="1"/>
    <col min="522" max="523" width="9.140625" style="27"/>
    <col min="524" max="524" width="9.5703125" style="27" customWidth="1"/>
    <col min="525" max="525" width="9.140625" style="27"/>
    <col min="526" max="526" width="12.7109375" style="27" customWidth="1"/>
    <col min="527" max="527" width="10.5703125" style="27" customWidth="1"/>
    <col min="528" max="768" width="9.140625" style="27"/>
    <col min="769" max="769" width="35.5703125" style="27" customWidth="1"/>
    <col min="770" max="770" width="13.85546875" style="27" customWidth="1"/>
    <col min="771" max="771" width="11.42578125" style="27" customWidth="1"/>
    <col min="772" max="772" width="10.140625" style="27" customWidth="1"/>
    <col min="773" max="775" width="11" style="27" customWidth="1"/>
    <col min="776" max="776" width="10.42578125" style="27" bestFit="1" customWidth="1"/>
    <col min="777" max="777" width="9.28515625" style="27" customWidth="1"/>
    <col min="778" max="779" width="9.140625" style="27"/>
    <col min="780" max="780" width="9.5703125" style="27" customWidth="1"/>
    <col min="781" max="781" width="9.140625" style="27"/>
    <col min="782" max="782" width="12.7109375" style="27" customWidth="1"/>
    <col min="783" max="783" width="10.5703125" style="27" customWidth="1"/>
    <col min="784" max="1024" width="9.140625" style="27"/>
    <col min="1025" max="1025" width="35.5703125" style="27" customWidth="1"/>
    <col min="1026" max="1026" width="13.85546875" style="27" customWidth="1"/>
    <col min="1027" max="1027" width="11.42578125" style="27" customWidth="1"/>
    <col min="1028" max="1028" width="10.140625" style="27" customWidth="1"/>
    <col min="1029" max="1031" width="11" style="27" customWidth="1"/>
    <col min="1032" max="1032" width="10.42578125" style="27" bestFit="1" customWidth="1"/>
    <col min="1033" max="1033" width="9.28515625" style="27" customWidth="1"/>
    <col min="1034" max="1035" width="9.140625" style="27"/>
    <col min="1036" max="1036" width="9.5703125" style="27" customWidth="1"/>
    <col min="1037" max="1037" width="9.140625" style="27"/>
    <col min="1038" max="1038" width="12.7109375" style="27" customWidth="1"/>
    <col min="1039" max="1039" width="10.5703125" style="27" customWidth="1"/>
    <col min="1040" max="1280" width="9.140625" style="27"/>
    <col min="1281" max="1281" width="35.5703125" style="27" customWidth="1"/>
    <col min="1282" max="1282" width="13.85546875" style="27" customWidth="1"/>
    <col min="1283" max="1283" width="11.42578125" style="27" customWidth="1"/>
    <col min="1284" max="1284" width="10.140625" style="27" customWidth="1"/>
    <col min="1285" max="1287" width="11" style="27" customWidth="1"/>
    <col min="1288" max="1288" width="10.42578125" style="27" bestFit="1" customWidth="1"/>
    <col min="1289" max="1289" width="9.28515625" style="27" customWidth="1"/>
    <col min="1290" max="1291" width="9.140625" style="27"/>
    <col min="1292" max="1292" width="9.5703125" style="27" customWidth="1"/>
    <col min="1293" max="1293" width="9.140625" style="27"/>
    <col min="1294" max="1294" width="12.7109375" style="27" customWidth="1"/>
    <col min="1295" max="1295" width="10.5703125" style="27" customWidth="1"/>
    <col min="1296" max="1536" width="9.140625" style="27"/>
    <col min="1537" max="1537" width="35.5703125" style="27" customWidth="1"/>
    <col min="1538" max="1538" width="13.85546875" style="27" customWidth="1"/>
    <col min="1539" max="1539" width="11.42578125" style="27" customWidth="1"/>
    <col min="1540" max="1540" width="10.140625" style="27" customWidth="1"/>
    <col min="1541" max="1543" width="11" style="27" customWidth="1"/>
    <col min="1544" max="1544" width="10.42578125" style="27" bestFit="1" customWidth="1"/>
    <col min="1545" max="1545" width="9.28515625" style="27" customWidth="1"/>
    <col min="1546" max="1547" width="9.140625" style="27"/>
    <col min="1548" max="1548" width="9.5703125" style="27" customWidth="1"/>
    <col min="1549" max="1549" width="9.140625" style="27"/>
    <col min="1550" max="1550" width="12.7109375" style="27" customWidth="1"/>
    <col min="1551" max="1551" width="10.5703125" style="27" customWidth="1"/>
    <col min="1552" max="1792" width="9.140625" style="27"/>
    <col min="1793" max="1793" width="35.5703125" style="27" customWidth="1"/>
    <col min="1794" max="1794" width="13.85546875" style="27" customWidth="1"/>
    <col min="1795" max="1795" width="11.42578125" style="27" customWidth="1"/>
    <col min="1796" max="1796" width="10.140625" style="27" customWidth="1"/>
    <col min="1797" max="1799" width="11" style="27" customWidth="1"/>
    <col min="1800" max="1800" width="10.42578125" style="27" bestFit="1" customWidth="1"/>
    <col min="1801" max="1801" width="9.28515625" style="27" customWidth="1"/>
    <col min="1802" max="1803" width="9.140625" style="27"/>
    <col min="1804" max="1804" width="9.5703125" style="27" customWidth="1"/>
    <col min="1805" max="1805" width="9.140625" style="27"/>
    <col min="1806" max="1806" width="12.7109375" style="27" customWidth="1"/>
    <col min="1807" max="1807" width="10.5703125" style="27" customWidth="1"/>
    <col min="1808" max="2048" width="9.140625" style="27"/>
    <col min="2049" max="2049" width="35.5703125" style="27" customWidth="1"/>
    <col min="2050" max="2050" width="13.85546875" style="27" customWidth="1"/>
    <col min="2051" max="2051" width="11.42578125" style="27" customWidth="1"/>
    <col min="2052" max="2052" width="10.140625" style="27" customWidth="1"/>
    <col min="2053" max="2055" width="11" style="27" customWidth="1"/>
    <col min="2056" max="2056" width="10.42578125" style="27" bestFit="1" customWidth="1"/>
    <col min="2057" max="2057" width="9.28515625" style="27" customWidth="1"/>
    <col min="2058" max="2059" width="9.140625" style="27"/>
    <col min="2060" max="2060" width="9.5703125" style="27" customWidth="1"/>
    <col min="2061" max="2061" width="9.140625" style="27"/>
    <col min="2062" max="2062" width="12.7109375" style="27" customWidth="1"/>
    <col min="2063" max="2063" width="10.5703125" style="27" customWidth="1"/>
    <col min="2064" max="2304" width="9.140625" style="27"/>
    <col min="2305" max="2305" width="35.5703125" style="27" customWidth="1"/>
    <col min="2306" max="2306" width="13.85546875" style="27" customWidth="1"/>
    <col min="2307" max="2307" width="11.42578125" style="27" customWidth="1"/>
    <col min="2308" max="2308" width="10.140625" style="27" customWidth="1"/>
    <col min="2309" max="2311" width="11" style="27" customWidth="1"/>
    <col min="2312" max="2312" width="10.42578125" style="27" bestFit="1" customWidth="1"/>
    <col min="2313" max="2313" width="9.28515625" style="27" customWidth="1"/>
    <col min="2314" max="2315" width="9.140625" style="27"/>
    <col min="2316" max="2316" width="9.5703125" style="27" customWidth="1"/>
    <col min="2317" max="2317" width="9.140625" style="27"/>
    <col min="2318" max="2318" width="12.7109375" style="27" customWidth="1"/>
    <col min="2319" max="2319" width="10.5703125" style="27" customWidth="1"/>
    <col min="2320" max="2560" width="9.140625" style="27"/>
    <col min="2561" max="2561" width="35.5703125" style="27" customWidth="1"/>
    <col min="2562" max="2562" width="13.85546875" style="27" customWidth="1"/>
    <col min="2563" max="2563" width="11.42578125" style="27" customWidth="1"/>
    <col min="2564" max="2564" width="10.140625" style="27" customWidth="1"/>
    <col min="2565" max="2567" width="11" style="27" customWidth="1"/>
    <col min="2568" max="2568" width="10.42578125" style="27" bestFit="1" customWidth="1"/>
    <col min="2569" max="2569" width="9.28515625" style="27" customWidth="1"/>
    <col min="2570" max="2571" width="9.140625" style="27"/>
    <col min="2572" max="2572" width="9.5703125" style="27" customWidth="1"/>
    <col min="2573" max="2573" width="9.140625" style="27"/>
    <col min="2574" max="2574" width="12.7109375" style="27" customWidth="1"/>
    <col min="2575" max="2575" width="10.5703125" style="27" customWidth="1"/>
    <col min="2576" max="2816" width="9.140625" style="27"/>
    <col min="2817" max="2817" width="35.5703125" style="27" customWidth="1"/>
    <col min="2818" max="2818" width="13.85546875" style="27" customWidth="1"/>
    <col min="2819" max="2819" width="11.42578125" style="27" customWidth="1"/>
    <col min="2820" max="2820" width="10.140625" style="27" customWidth="1"/>
    <col min="2821" max="2823" width="11" style="27" customWidth="1"/>
    <col min="2824" max="2824" width="10.42578125" style="27" bestFit="1" customWidth="1"/>
    <col min="2825" max="2825" width="9.28515625" style="27" customWidth="1"/>
    <col min="2826" max="2827" width="9.140625" style="27"/>
    <col min="2828" max="2828" width="9.5703125" style="27" customWidth="1"/>
    <col min="2829" max="2829" width="9.140625" style="27"/>
    <col min="2830" max="2830" width="12.7109375" style="27" customWidth="1"/>
    <col min="2831" max="2831" width="10.5703125" style="27" customWidth="1"/>
    <col min="2832" max="3072" width="9.140625" style="27"/>
    <col min="3073" max="3073" width="35.5703125" style="27" customWidth="1"/>
    <col min="3074" max="3074" width="13.85546875" style="27" customWidth="1"/>
    <col min="3075" max="3075" width="11.42578125" style="27" customWidth="1"/>
    <col min="3076" max="3076" width="10.140625" style="27" customWidth="1"/>
    <col min="3077" max="3079" width="11" style="27" customWidth="1"/>
    <col min="3080" max="3080" width="10.42578125" style="27" bestFit="1" customWidth="1"/>
    <col min="3081" max="3081" width="9.28515625" style="27" customWidth="1"/>
    <col min="3082" max="3083" width="9.140625" style="27"/>
    <col min="3084" max="3084" width="9.5703125" style="27" customWidth="1"/>
    <col min="3085" max="3085" width="9.140625" style="27"/>
    <col min="3086" max="3086" width="12.7109375" style="27" customWidth="1"/>
    <col min="3087" max="3087" width="10.5703125" style="27" customWidth="1"/>
    <col min="3088" max="3328" width="9.140625" style="27"/>
    <col min="3329" max="3329" width="35.5703125" style="27" customWidth="1"/>
    <col min="3330" max="3330" width="13.85546875" style="27" customWidth="1"/>
    <col min="3331" max="3331" width="11.42578125" style="27" customWidth="1"/>
    <col min="3332" max="3332" width="10.140625" style="27" customWidth="1"/>
    <col min="3333" max="3335" width="11" style="27" customWidth="1"/>
    <col min="3336" max="3336" width="10.42578125" style="27" bestFit="1" customWidth="1"/>
    <col min="3337" max="3337" width="9.28515625" style="27" customWidth="1"/>
    <col min="3338" max="3339" width="9.140625" style="27"/>
    <col min="3340" max="3340" width="9.5703125" style="27" customWidth="1"/>
    <col min="3341" max="3341" width="9.140625" style="27"/>
    <col min="3342" max="3342" width="12.7109375" style="27" customWidth="1"/>
    <col min="3343" max="3343" width="10.5703125" style="27" customWidth="1"/>
    <col min="3344" max="3584" width="9.140625" style="27"/>
    <col min="3585" max="3585" width="35.5703125" style="27" customWidth="1"/>
    <col min="3586" max="3586" width="13.85546875" style="27" customWidth="1"/>
    <col min="3587" max="3587" width="11.42578125" style="27" customWidth="1"/>
    <col min="3588" max="3588" width="10.140625" style="27" customWidth="1"/>
    <col min="3589" max="3591" width="11" style="27" customWidth="1"/>
    <col min="3592" max="3592" width="10.42578125" style="27" bestFit="1" customWidth="1"/>
    <col min="3593" max="3593" width="9.28515625" style="27" customWidth="1"/>
    <col min="3594" max="3595" width="9.140625" style="27"/>
    <col min="3596" max="3596" width="9.5703125" style="27" customWidth="1"/>
    <col min="3597" max="3597" width="9.140625" style="27"/>
    <col min="3598" max="3598" width="12.7109375" style="27" customWidth="1"/>
    <col min="3599" max="3599" width="10.5703125" style="27" customWidth="1"/>
    <col min="3600" max="3840" width="9.140625" style="27"/>
    <col min="3841" max="3841" width="35.5703125" style="27" customWidth="1"/>
    <col min="3842" max="3842" width="13.85546875" style="27" customWidth="1"/>
    <col min="3843" max="3843" width="11.42578125" style="27" customWidth="1"/>
    <col min="3844" max="3844" width="10.140625" style="27" customWidth="1"/>
    <col min="3845" max="3847" width="11" style="27" customWidth="1"/>
    <col min="3848" max="3848" width="10.42578125" style="27" bestFit="1" customWidth="1"/>
    <col min="3849" max="3849" width="9.28515625" style="27" customWidth="1"/>
    <col min="3850" max="3851" width="9.140625" style="27"/>
    <col min="3852" max="3852" width="9.5703125" style="27" customWidth="1"/>
    <col min="3853" max="3853" width="9.140625" style="27"/>
    <col min="3854" max="3854" width="12.7109375" style="27" customWidth="1"/>
    <col min="3855" max="3855" width="10.5703125" style="27" customWidth="1"/>
    <col min="3856" max="4096" width="9.140625" style="27"/>
    <col min="4097" max="4097" width="35.5703125" style="27" customWidth="1"/>
    <col min="4098" max="4098" width="13.85546875" style="27" customWidth="1"/>
    <col min="4099" max="4099" width="11.42578125" style="27" customWidth="1"/>
    <col min="4100" max="4100" width="10.140625" style="27" customWidth="1"/>
    <col min="4101" max="4103" width="11" style="27" customWidth="1"/>
    <col min="4104" max="4104" width="10.42578125" style="27" bestFit="1" customWidth="1"/>
    <col min="4105" max="4105" width="9.28515625" style="27" customWidth="1"/>
    <col min="4106" max="4107" width="9.140625" style="27"/>
    <col min="4108" max="4108" width="9.5703125" style="27" customWidth="1"/>
    <col min="4109" max="4109" width="9.140625" style="27"/>
    <col min="4110" max="4110" width="12.7109375" style="27" customWidth="1"/>
    <col min="4111" max="4111" width="10.5703125" style="27" customWidth="1"/>
    <col min="4112" max="4352" width="9.140625" style="27"/>
    <col min="4353" max="4353" width="35.5703125" style="27" customWidth="1"/>
    <col min="4354" max="4354" width="13.85546875" style="27" customWidth="1"/>
    <col min="4355" max="4355" width="11.42578125" style="27" customWidth="1"/>
    <col min="4356" max="4356" width="10.140625" style="27" customWidth="1"/>
    <col min="4357" max="4359" width="11" style="27" customWidth="1"/>
    <col min="4360" max="4360" width="10.42578125" style="27" bestFit="1" customWidth="1"/>
    <col min="4361" max="4361" width="9.28515625" style="27" customWidth="1"/>
    <col min="4362" max="4363" width="9.140625" style="27"/>
    <col min="4364" max="4364" width="9.5703125" style="27" customWidth="1"/>
    <col min="4365" max="4365" width="9.140625" style="27"/>
    <col min="4366" max="4366" width="12.7109375" style="27" customWidth="1"/>
    <col min="4367" max="4367" width="10.5703125" style="27" customWidth="1"/>
    <col min="4368" max="4608" width="9.140625" style="27"/>
    <col min="4609" max="4609" width="35.5703125" style="27" customWidth="1"/>
    <col min="4610" max="4610" width="13.85546875" style="27" customWidth="1"/>
    <col min="4611" max="4611" width="11.42578125" style="27" customWidth="1"/>
    <col min="4612" max="4612" width="10.140625" style="27" customWidth="1"/>
    <col min="4613" max="4615" width="11" style="27" customWidth="1"/>
    <col min="4616" max="4616" width="10.42578125" style="27" bestFit="1" customWidth="1"/>
    <col min="4617" max="4617" width="9.28515625" style="27" customWidth="1"/>
    <col min="4618" max="4619" width="9.140625" style="27"/>
    <col min="4620" max="4620" width="9.5703125" style="27" customWidth="1"/>
    <col min="4621" max="4621" width="9.140625" style="27"/>
    <col min="4622" max="4622" width="12.7109375" style="27" customWidth="1"/>
    <col min="4623" max="4623" width="10.5703125" style="27" customWidth="1"/>
    <col min="4624" max="4864" width="9.140625" style="27"/>
    <col min="4865" max="4865" width="35.5703125" style="27" customWidth="1"/>
    <col min="4866" max="4866" width="13.85546875" style="27" customWidth="1"/>
    <col min="4867" max="4867" width="11.42578125" style="27" customWidth="1"/>
    <col min="4868" max="4868" width="10.140625" style="27" customWidth="1"/>
    <col min="4869" max="4871" width="11" style="27" customWidth="1"/>
    <col min="4872" max="4872" width="10.42578125" style="27" bestFit="1" customWidth="1"/>
    <col min="4873" max="4873" width="9.28515625" style="27" customWidth="1"/>
    <col min="4874" max="4875" width="9.140625" style="27"/>
    <col min="4876" max="4876" width="9.5703125" style="27" customWidth="1"/>
    <col min="4877" max="4877" width="9.140625" style="27"/>
    <col min="4878" max="4878" width="12.7109375" style="27" customWidth="1"/>
    <col min="4879" max="4879" width="10.5703125" style="27" customWidth="1"/>
    <col min="4880" max="5120" width="9.140625" style="27"/>
    <col min="5121" max="5121" width="35.5703125" style="27" customWidth="1"/>
    <col min="5122" max="5122" width="13.85546875" style="27" customWidth="1"/>
    <col min="5123" max="5123" width="11.42578125" style="27" customWidth="1"/>
    <col min="5124" max="5124" width="10.140625" style="27" customWidth="1"/>
    <col min="5125" max="5127" width="11" style="27" customWidth="1"/>
    <col min="5128" max="5128" width="10.42578125" style="27" bestFit="1" customWidth="1"/>
    <col min="5129" max="5129" width="9.28515625" style="27" customWidth="1"/>
    <col min="5130" max="5131" width="9.140625" style="27"/>
    <col min="5132" max="5132" width="9.5703125" style="27" customWidth="1"/>
    <col min="5133" max="5133" width="9.140625" style="27"/>
    <col min="5134" max="5134" width="12.7109375" style="27" customWidth="1"/>
    <col min="5135" max="5135" width="10.5703125" style="27" customWidth="1"/>
    <col min="5136" max="5376" width="9.140625" style="27"/>
    <col min="5377" max="5377" width="35.5703125" style="27" customWidth="1"/>
    <col min="5378" max="5378" width="13.85546875" style="27" customWidth="1"/>
    <col min="5379" max="5379" width="11.42578125" style="27" customWidth="1"/>
    <col min="5380" max="5380" width="10.140625" style="27" customWidth="1"/>
    <col min="5381" max="5383" width="11" style="27" customWidth="1"/>
    <col min="5384" max="5384" width="10.42578125" style="27" bestFit="1" customWidth="1"/>
    <col min="5385" max="5385" width="9.28515625" style="27" customWidth="1"/>
    <col min="5386" max="5387" width="9.140625" style="27"/>
    <col min="5388" max="5388" width="9.5703125" style="27" customWidth="1"/>
    <col min="5389" max="5389" width="9.140625" style="27"/>
    <col min="5390" max="5390" width="12.7109375" style="27" customWidth="1"/>
    <col min="5391" max="5391" width="10.5703125" style="27" customWidth="1"/>
    <col min="5392" max="5632" width="9.140625" style="27"/>
    <col min="5633" max="5633" width="35.5703125" style="27" customWidth="1"/>
    <col min="5634" max="5634" width="13.85546875" style="27" customWidth="1"/>
    <col min="5635" max="5635" width="11.42578125" style="27" customWidth="1"/>
    <col min="5636" max="5636" width="10.140625" style="27" customWidth="1"/>
    <col min="5637" max="5639" width="11" style="27" customWidth="1"/>
    <col min="5640" max="5640" width="10.42578125" style="27" bestFit="1" customWidth="1"/>
    <col min="5641" max="5641" width="9.28515625" style="27" customWidth="1"/>
    <col min="5642" max="5643" width="9.140625" style="27"/>
    <col min="5644" max="5644" width="9.5703125" style="27" customWidth="1"/>
    <col min="5645" max="5645" width="9.140625" style="27"/>
    <col min="5646" max="5646" width="12.7109375" style="27" customWidth="1"/>
    <col min="5647" max="5647" width="10.5703125" style="27" customWidth="1"/>
    <col min="5648" max="5888" width="9.140625" style="27"/>
    <col min="5889" max="5889" width="35.5703125" style="27" customWidth="1"/>
    <col min="5890" max="5890" width="13.85546875" style="27" customWidth="1"/>
    <col min="5891" max="5891" width="11.42578125" style="27" customWidth="1"/>
    <col min="5892" max="5892" width="10.140625" style="27" customWidth="1"/>
    <col min="5893" max="5895" width="11" style="27" customWidth="1"/>
    <col min="5896" max="5896" width="10.42578125" style="27" bestFit="1" customWidth="1"/>
    <col min="5897" max="5897" width="9.28515625" style="27" customWidth="1"/>
    <col min="5898" max="5899" width="9.140625" style="27"/>
    <col min="5900" max="5900" width="9.5703125" style="27" customWidth="1"/>
    <col min="5901" max="5901" width="9.140625" style="27"/>
    <col min="5902" max="5902" width="12.7109375" style="27" customWidth="1"/>
    <col min="5903" max="5903" width="10.5703125" style="27" customWidth="1"/>
    <col min="5904" max="6144" width="9.140625" style="27"/>
    <col min="6145" max="6145" width="35.5703125" style="27" customWidth="1"/>
    <col min="6146" max="6146" width="13.85546875" style="27" customWidth="1"/>
    <col min="6147" max="6147" width="11.42578125" style="27" customWidth="1"/>
    <col min="6148" max="6148" width="10.140625" style="27" customWidth="1"/>
    <col min="6149" max="6151" width="11" style="27" customWidth="1"/>
    <col min="6152" max="6152" width="10.42578125" style="27" bestFit="1" customWidth="1"/>
    <col min="6153" max="6153" width="9.28515625" style="27" customWidth="1"/>
    <col min="6154" max="6155" width="9.140625" style="27"/>
    <col min="6156" max="6156" width="9.5703125" style="27" customWidth="1"/>
    <col min="6157" max="6157" width="9.140625" style="27"/>
    <col min="6158" max="6158" width="12.7109375" style="27" customWidth="1"/>
    <col min="6159" max="6159" width="10.5703125" style="27" customWidth="1"/>
    <col min="6160" max="6400" width="9.140625" style="27"/>
    <col min="6401" max="6401" width="35.5703125" style="27" customWidth="1"/>
    <col min="6402" max="6402" width="13.85546875" style="27" customWidth="1"/>
    <col min="6403" max="6403" width="11.42578125" style="27" customWidth="1"/>
    <col min="6404" max="6404" width="10.140625" style="27" customWidth="1"/>
    <col min="6405" max="6407" width="11" style="27" customWidth="1"/>
    <col min="6408" max="6408" width="10.42578125" style="27" bestFit="1" customWidth="1"/>
    <col min="6409" max="6409" width="9.28515625" style="27" customWidth="1"/>
    <col min="6410" max="6411" width="9.140625" style="27"/>
    <col min="6412" max="6412" width="9.5703125" style="27" customWidth="1"/>
    <col min="6413" max="6413" width="9.140625" style="27"/>
    <col min="6414" max="6414" width="12.7109375" style="27" customWidth="1"/>
    <col min="6415" max="6415" width="10.5703125" style="27" customWidth="1"/>
    <col min="6416" max="6656" width="9.140625" style="27"/>
    <col min="6657" max="6657" width="35.5703125" style="27" customWidth="1"/>
    <col min="6658" max="6658" width="13.85546875" style="27" customWidth="1"/>
    <col min="6659" max="6659" width="11.42578125" style="27" customWidth="1"/>
    <col min="6660" max="6660" width="10.140625" style="27" customWidth="1"/>
    <col min="6661" max="6663" width="11" style="27" customWidth="1"/>
    <col min="6664" max="6664" width="10.42578125" style="27" bestFit="1" customWidth="1"/>
    <col min="6665" max="6665" width="9.28515625" style="27" customWidth="1"/>
    <col min="6666" max="6667" width="9.140625" style="27"/>
    <col min="6668" max="6668" width="9.5703125" style="27" customWidth="1"/>
    <col min="6669" max="6669" width="9.140625" style="27"/>
    <col min="6670" max="6670" width="12.7109375" style="27" customWidth="1"/>
    <col min="6671" max="6671" width="10.5703125" style="27" customWidth="1"/>
    <col min="6672" max="6912" width="9.140625" style="27"/>
    <col min="6913" max="6913" width="35.5703125" style="27" customWidth="1"/>
    <col min="6914" max="6914" width="13.85546875" style="27" customWidth="1"/>
    <col min="6915" max="6915" width="11.42578125" style="27" customWidth="1"/>
    <col min="6916" max="6916" width="10.140625" style="27" customWidth="1"/>
    <col min="6917" max="6919" width="11" style="27" customWidth="1"/>
    <col min="6920" max="6920" width="10.42578125" style="27" bestFit="1" customWidth="1"/>
    <col min="6921" max="6921" width="9.28515625" style="27" customWidth="1"/>
    <col min="6922" max="6923" width="9.140625" style="27"/>
    <col min="6924" max="6924" width="9.5703125" style="27" customWidth="1"/>
    <col min="6925" max="6925" width="9.140625" style="27"/>
    <col min="6926" max="6926" width="12.7109375" style="27" customWidth="1"/>
    <col min="6927" max="6927" width="10.5703125" style="27" customWidth="1"/>
    <col min="6928" max="7168" width="9.140625" style="27"/>
    <col min="7169" max="7169" width="35.5703125" style="27" customWidth="1"/>
    <col min="7170" max="7170" width="13.85546875" style="27" customWidth="1"/>
    <col min="7171" max="7171" width="11.42578125" style="27" customWidth="1"/>
    <col min="7172" max="7172" width="10.140625" style="27" customWidth="1"/>
    <col min="7173" max="7175" width="11" style="27" customWidth="1"/>
    <col min="7176" max="7176" width="10.42578125" style="27" bestFit="1" customWidth="1"/>
    <col min="7177" max="7177" width="9.28515625" style="27" customWidth="1"/>
    <col min="7178" max="7179" width="9.140625" style="27"/>
    <col min="7180" max="7180" width="9.5703125" style="27" customWidth="1"/>
    <col min="7181" max="7181" width="9.140625" style="27"/>
    <col min="7182" max="7182" width="12.7109375" style="27" customWidth="1"/>
    <col min="7183" max="7183" width="10.5703125" style="27" customWidth="1"/>
    <col min="7184" max="7424" width="9.140625" style="27"/>
    <col min="7425" max="7425" width="35.5703125" style="27" customWidth="1"/>
    <col min="7426" max="7426" width="13.85546875" style="27" customWidth="1"/>
    <col min="7427" max="7427" width="11.42578125" style="27" customWidth="1"/>
    <col min="7428" max="7428" width="10.140625" style="27" customWidth="1"/>
    <col min="7429" max="7431" width="11" style="27" customWidth="1"/>
    <col min="7432" max="7432" width="10.42578125" style="27" bestFit="1" customWidth="1"/>
    <col min="7433" max="7433" width="9.28515625" style="27" customWidth="1"/>
    <col min="7434" max="7435" width="9.140625" style="27"/>
    <col min="7436" max="7436" width="9.5703125" style="27" customWidth="1"/>
    <col min="7437" max="7437" width="9.140625" style="27"/>
    <col min="7438" max="7438" width="12.7109375" style="27" customWidth="1"/>
    <col min="7439" max="7439" width="10.5703125" style="27" customWidth="1"/>
    <col min="7440" max="7680" width="9.140625" style="27"/>
    <col min="7681" max="7681" width="35.5703125" style="27" customWidth="1"/>
    <col min="7682" max="7682" width="13.85546875" style="27" customWidth="1"/>
    <col min="7683" max="7683" width="11.42578125" style="27" customWidth="1"/>
    <col min="7684" max="7684" width="10.140625" style="27" customWidth="1"/>
    <col min="7685" max="7687" width="11" style="27" customWidth="1"/>
    <col min="7688" max="7688" width="10.42578125" style="27" bestFit="1" customWidth="1"/>
    <col min="7689" max="7689" width="9.28515625" style="27" customWidth="1"/>
    <col min="7690" max="7691" width="9.140625" style="27"/>
    <col min="7692" max="7692" width="9.5703125" style="27" customWidth="1"/>
    <col min="7693" max="7693" width="9.140625" style="27"/>
    <col min="7694" max="7694" width="12.7109375" style="27" customWidth="1"/>
    <col min="7695" max="7695" width="10.5703125" style="27" customWidth="1"/>
    <col min="7696" max="7936" width="9.140625" style="27"/>
    <col min="7937" max="7937" width="35.5703125" style="27" customWidth="1"/>
    <col min="7938" max="7938" width="13.85546875" style="27" customWidth="1"/>
    <col min="7939" max="7939" width="11.42578125" style="27" customWidth="1"/>
    <col min="7940" max="7940" width="10.140625" style="27" customWidth="1"/>
    <col min="7941" max="7943" width="11" style="27" customWidth="1"/>
    <col min="7944" max="7944" width="10.42578125" style="27" bestFit="1" customWidth="1"/>
    <col min="7945" max="7945" width="9.28515625" style="27" customWidth="1"/>
    <col min="7946" max="7947" width="9.140625" style="27"/>
    <col min="7948" max="7948" width="9.5703125" style="27" customWidth="1"/>
    <col min="7949" max="7949" width="9.140625" style="27"/>
    <col min="7950" max="7950" width="12.7109375" style="27" customWidth="1"/>
    <col min="7951" max="7951" width="10.5703125" style="27" customWidth="1"/>
    <col min="7952" max="8192" width="9.140625" style="27"/>
    <col min="8193" max="8193" width="35.5703125" style="27" customWidth="1"/>
    <col min="8194" max="8194" width="13.85546875" style="27" customWidth="1"/>
    <col min="8195" max="8195" width="11.42578125" style="27" customWidth="1"/>
    <col min="8196" max="8196" width="10.140625" style="27" customWidth="1"/>
    <col min="8197" max="8199" width="11" style="27" customWidth="1"/>
    <col min="8200" max="8200" width="10.42578125" style="27" bestFit="1" customWidth="1"/>
    <col min="8201" max="8201" width="9.28515625" style="27" customWidth="1"/>
    <col min="8202" max="8203" width="9.140625" style="27"/>
    <col min="8204" max="8204" width="9.5703125" style="27" customWidth="1"/>
    <col min="8205" max="8205" width="9.140625" style="27"/>
    <col min="8206" max="8206" width="12.7109375" style="27" customWidth="1"/>
    <col min="8207" max="8207" width="10.5703125" style="27" customWidth="1"/>
    <col min="8208" max="8448" width="9.140625" style="27"/>
    <col min="8449" max="8449" width="35.5703125" style="27" customWidth="1"/>
    <col min="8450" max="8450" width="13.85546875" style="27" customWidth="1"/>
    <col min="8451" max="8451" width="11.42578125" style="27" customWidth="1"/>
    <col min="8452" max="8452" width="10.140625" style="27" customWidth="1"/>
    <col min="8453" max="8455" width="11" style="27" customWidth="1"/>
    <col min="8456" max="8456" width="10.42578125" style="27" bestFit="1" customWidth="1"/>
    <col min="8457" max="8457" width="9.28515625" style="27" customWidth="1"/>
    <col min="8458" max="8459" width="9.140625" style="27"/>
    <col min="8460" max="8460" width="9.5703125" style="27" customWidth="1"/>
    <col min="8461" max="8461" width="9.140625" style="27"/>
    <col min="8462" max="8462" width="12.7109375" style="27" customWidth="1"/>
    <col min="8463" max="8463" width="10.5703125" style="27" customWidth="1"/>
    <col min="8464" max="8704" width="9.140625" style="27"/>
    <col min="8705" max="8705" width="35.5703125" style="27" customWidth="1"/>
    <col min="8706" max="8706" width="13.85546875" style="27" customWidth="1"/>
    <col min="8707" max="8707" width="11.42578125" style="27" customWidth="1"/>
    <col min="8708" max="8708" width="10.140625" style="27" customWidth="1"/>
    <col min="8709" max="8711" width="11" style="27" customWidth="1"/>
    <col min="8712" max="8712" width="10.42578125" style="27" bestFit="1" customWidth="1"/>
    <col min="8713" max="8713" width="9.28515625" style="27" customWidth="1"/>
    <col min="8714" max="8715" width="9.140625" style="27"/>
    <col min="8716" max="8716" width="9.5703125" style="27" customWidth="1"/>
    <col min="8717" max="8717" width="9.140625" style="27"/>
    <col min="8718" max="8718" width="12.7109375" style="27" customWidth="1"/>
    <col min="8719" max="8719" width="10.5703125" style="27" customWidth="1"/>
    <col min="8720" max="8960" width="9.140625" style="27"/>
    <col min="8961" max="8961" width="35.5703125" style="27" customWidth="1"/>
    <col min="8962" max="8962" width="13.85546875" style="27" customWidth="1"/>
    <col min="8963" max="8963" width="11.42578125" style="27" customWidth="1"/>
    <col min="8964" max="8964" width="10.140625" style="27" customWidth="1"/>
    <col min="8965" max="8967" width="11" style="27" customWidth="1"/>
    <col min="8968" max="8968" width="10.42578125" style="27" bestFit="1" customWidth="1"/>
    <col min="8969" max="8969" width="9.28515625" style="27" customWidth="1"/>
    <col min="8970" max="8971" width="9.140625" style="27"/>
    <col min="8972" max="8972" width="9.5703125" style="27" customWidth="1"/>
    <col min="8973" max="8973" width="9.140625" style="27"/>
    <col min="8974" max="8974" width="12.7109375" style="27" customWidth="1"/>
    <col min="8975" max="8975" width="10.5703125" style="27" customWidth="1"/>
    <col min="8976" max="9216" width="9.140625" style="27"/>
    <col min="9217" max="9217" width="35.5703125" style="27" customWidth="1"/>
    <col min="9218" max="9218" width="13.85546875" style="27" customWidth="1"/>
    <col min="9219" max="9219" width="11.42578125" style="27" customWidth="1"/>
    <col min="9220" max="9220" width="10.140625" style="27" customWidth="1"/>
    <col min="9221" max="9223" width="11" style="27" customWidth="1"/>
    <col min="9224" max="9224" width="10.42578125" style="27" bestFit="1" customWidth="1"/>
    <col min="9225" max="9225" width="9.28515625" style="27" customWidth="1"/>
    <col min="9226" max="9227" width="9.140625" style="27"/>
    <col min="9228" max="9228" width="9.5703125" style="27" customWidth="1"/>
    <col min="9229" max="9229" width="9.140625" style="27"/>
    <col min="9230" max="9230" width="12.7109375" style="27" customWidth="1"/>
    <col min="9231" max="9231" width="10.5703125" style="27" customWidth="1"/>
    <col min="9232" max="9472" width="9.140625" style="27"/>
    <col min="9473" max="9473" width="35.5703125" style="27" customWidth="1"/>
    <col min="9474" max="9474" width="13.85546875" style="27" customWidth="1"/>
    <col min="9475" max="9475" width="11.42578125" style="27" customWidth="1"/>
    <col min="9476" max="9476" width="10.140625" style="27" customWidth="1"/>
    <col min="9477" max="9479" width="11" style="27" customWidth="1"/>
    <col min="9480" max="9480" width="10.42578125" style="27" bestFit="1" customWidth="1"/>
    <col min="9481" max="9481" width="9.28515625" style="27" customWidth="1"/>
    <col min="9482" max="9483" width="9.140625" style="27"/>
    <col min="9484" max="9484" width="9.5703125" style="27" customWidth="1"/>
    <col min="9485" max="9485" width="9.140625" style="27"/>
    <col min="9486" max="9486" width="12.7109375" style="27" customWidth="1"/>
    <col min="9487" max="9487" width="10.5703125" style="27" customWidth="1"/>
    <col min="9488" max="9728" width="9.140625" style="27"/>
    <col min="9729" max="9729" width="35.5703125" style="27" customWidth="1"/>
    <col min="9730" max="9730" width="13.85546875" style="27" customWidth="1"/>
    <col min="9731" max="9731" width="11.42578125" style="27" customWidth="1"/>
    <col min="9732" max="9732" width="10.140625" style="27" customWidth="1"/>
    <col min="9733" max="9735" width="11" style="27" customWidth="1"/>
    <col min="9736" max="9736" width="10.42578125" style="27" bestFit="1" customWidth="1"/>
    <col min="9737" max="9737" width="9.28515625" style="27" customWidth="1"/>
    <col min="9738" max="9739" width="9.140625" style="27"/>
    <col min="9740" max="9740" width="9.5703125" style="27" customWidth="1"/>
    <col min="9741" max="9741" width="9.140625" style="27"/>
    <col min="9742" max="9742" width="12.7109375" style="27" customWidth="1"/>
    <col min="9743" max="9743" width="10.5703125" style="27" customWidth="1"/>
    <col min="9744" max="9984" width="9.140625" style="27"/>
    <col min="9985" max="9985" width="35.5703125" style="27" customWidth="1"/>
    <col min="9986" max="9986" width="13.85546875" style="27" customWidth="1"/>
    <col min="9987" max="9987" width="11.42578125" style="27" customWidth="1"/>
    <col min="9988" max="9988" width="10.140625" style="27" customWidth="1"/>
    <col min="9989" max="9991" width="11" style="27" customWidth="1"/>
    <col min="9992" max="9992" width="10.42578125" style="27" bestFit="1" customWidth="1"/>
    <col min="9993" max="9993" width="9.28515625" style="27" customWidth="1"/>
    <col min="9994" max="9995" width="9.140625" style="27"/>
    <col min="9996" max="9996" width="9.5703125" style="27" customWidth="1"/>
    <col min="9997" max="9997" width="9.140625" style="27"/>
    <col min="9998" max="9998" width="12.7109375" style="27" customWidth="1"/>
    <col min="9999" max="9999" width="10.5703125" style="27" customWidth="1"/>
    <col min="10000" max="10240" width="9.140625" style="27"/>
    <col min="10241" max="10241" width="35.5703125" style="27" customWidth="1"/>
    <col min="10242" max="10242" width="13.85546875" style="27" customWidth="1"/>
    <col min="10243" max="10243" width="11.42578125" style="27" customWidth="1"/>
    <col min="10244" max="10244" width="10.140625" style="27" customWidth="1"/>
    <col min="10245" max="10247" width="11" style="27" customWidth="1"/>
    <col min="10248" max="10248" width="10.42578125" style="27" bestFit="1" customWidth="1"/>
    <col min="10249" max="10249" width="9.28515625" style="27" customWidth="1"/>
    <col min="10250" max="10251" width="9.140625" style="27"/>
    <col min="10252" max="10252" width="9.5703125" style="27" customWidth="1"/>
    <col min="10253" max="10253" width="9.140625" style="27"/>
    <col min="10254" max="10254" width="12.7109375" style="27" customWidth="1"/>
    <col min="10255" max="10255" width="10.5703125" style="27" customWidth="1"/>
    <col min="10256" max="10496" width="9.140625" style="27"/>
    <col min="10497" max="10497" width="35.5703125" style="27" customWidth="1"/>
    <col min="10498" max="10498" width="13.85546875" style="27" customWidth="1"/>
    <col min="10499" max="10499" width="11.42578125" style="27" customWidth="1"/>
    <col min="10500" max="10500" width="10.140625" style="27" customWidth="1"/>
    <col min="10501" max="10503" width="11" style="27" customWidth="1"/>
    <col min="10504" max="10504" width="10.42578125" style="27" bestFit="1" customWidth="1"/>
    <col min="10505" max="10505" width="9.28515625" style="27" customWidth="1"/>
    <col min="10506" max="10507" width="9.140625" style="27"/>
    <col min="10508" max="10508" width="9.5703125" style="27" customWidth="1"/>
    <col min="10509" max="10509" width="9.140625" style="27"/>
    <col min="10510" max="10510" width="12.7109375" style="27" customWidth="1"/>
    <col min="10511" max="10511" width="10.5703125" style="27" customWidth="1"/>
    <col min="10512" max="10752" width="9.140625" style="27"/>
    <col min="10753" max="10753" width="35.5703125" style="27" customWidth="1"/>
    <col min="10754" max="10754" width="13.85546875" style="27" customWidth="1"/>
    <col min="10755" max="10755" width="11.42578125" style="27" customWidth="1"/>
    <col min="10756" max="10756" width="10.140625" style="27" customWidth="1"/>
    <col min="10757" max="10759" width="11" style="27" customWidth="1"/>
    <col min="10760" max="10760" width="10.42578125" style="27" bestFit="1" customWidth="1"/>
    <col min="10761" max="10761" width="9.28515625" style="27" customWidth="1"/>
    <col min="10762" max="10763" width="9.140625" style="27"/>
    <col min="10764" max="10764" width="9.5703125" style="27" customWidth="1"/>
    <col min="10765" max="10765" width="9.140625" style="27"/>
    <col min="10766" max="10766" width="12.7109375" style="27" customWidth="1"/>
    <col min="10767" max="10767" width="10.5703125" style="27" customWidth="1"/>
    <col min="10768" max="11008" width="9.140625" style="27"/>
    <col min="11009" max="11009" width="35.5703125" style="27" customWidth="1"/>
    <col min="11010" max="11010" width="13.85546875" style="27" customWidth="1"/>
    <col min="11011" max="11011" width="11.42578125" style="27" customWidth="1"/>
    <col min="11012" max="11012" width="10.140625" style="27" customWidth="1"/>
    <col min="11013" max="11015" width="11" style="27" customWidth="1"/>
    <col min="11016" max="11016" width="10.42578125" style="27" bestFit="1" customWidth="1"/>
    <col min="11017" max="11017" width="9.28515625" style="27" customWidth="1"/>
    <col min="11018" max="11019" width="9.140625" style="27"/>
    <col min="11020" max="11020" width="9.5703125" style="27" customWidth="1"/>
    <col min="11021" max="11021" width="9.140625" style="27"/>
    <col min="11022" max="11022" width="12.7109375" style="27" customWidth="1"/>
    <col min="11023" max="11023" width="10.5703125" style="27" customWidth="1"/>
    <col min="11024" max="11264" width="9.140625" style="27"/>
    <col min="11265" max="11265" width="35.5703125" style="27" customWidth="1"/>
    <col min="11266" max="11266" width="13.85546875" style="27" customWidth="1"/>
    <col min="11267" max="11267" width="11.42578125" style="27" customWidth="1"/>
    <col min="11268" max="11268" width="10.140625" style="27" customWidth="1"/>
    <col min="11269" max="11271" width="11" style="27" customWidth="1"/>
    <col min="11272" max="11272" width="10.42578125" style="27" bestFit="1" customWidth="1"/>
    <col min="11273" max="11273" width="9.28515625" style="27" customWidth="1"/>
    <col min="11274" max="11275" width="9.140625" style="27"/>
    <col min="11276" max="11276" width="9.5703125" style="27" customWidth="1"/>
    <col min="11277" max="11277" width="9.140625" style="27"/>
    <col min="11278" max="11278" width="12.7109375" style="27" customWidth="1"/>
    <col min="11279" max="11279" width="10.5703125" style="27" customWidth="1"/>
    <col min="11280" max="11520" width="9.140625" style="27"/>
    <col min="11521" max="11521" width="35.5703125" style="27" customWidth="1"/>
    <col min="11522" max="11522" width="13.85546875" style="27" customWidth="1"/>
    <col min="11523" max="11523" width="11.42578125" style="27" customWidth="1"/>
    <col min="11524" max="11524" width="10.140625" style="27" customWidth="1"/>
    <col min="11525" max="11527" width="11" style="27" customWidth="1"/>
    <col min="11528" max="11528" width="10.42578125" style="27" bestFit="1" customWidth="1"/>
    <col min="11529" max="11529" width="9.28515625" style="27" customWidth="1"/>
    <col min="11530" max="11531" width="9.140625" style="27"/>
    <col min="11532" max="11532" width="9.5703125" style="27" customWidth="1"/>
    <col min="11533" max="11533" width="9.140625" style="27"/>
    <col min="11534" max="11534" width="12.7109375" style="27" customWidth="1"/>
    <col min="11535" max="11535" width="10.5703125" style="27" customWidth="1"/>
    <col min="11536" max="11776" width="9.140625" style="27"/>
    <col min="11777" max="11777" width="35.5703125" style="27" customWidth="1"/>
    <col min="11778" max="11778" width="13.85546875" style="27" customWidth="1"/>
    <col min="11779" max="11779" width="11.42578125" style="27" customWidth="1"/>
    <col min="11780" max="11780" width="10.140625" style="27" customWidth="1"/>
    <col min="11781" max="11783" width="11" style="27" customWidth="1"/>
    <col min="11784" max="11784" width="10.42578125" style="27" bestFit="1" customWidth="1"/>
    <col min="11785" max="11785" width="9.28515625" style="27" customWidth="1"/>
    <col min="11786" max="11787" width="9.140625" style="27"/>
    <col min="11788" max="11788" width="9.5703125" style="27" customWidth="1"/>
    <col min="11789" max="11789" width="9.140625" style="27"/>
    <col min="11790" max="11790" width="12.7109375" style="27" customWidth="1"/>
    <col min="11791" max="11791" width="10.5703125" style="27" customWidth="1"/>
    <col min="11792" max="12032" width="9.140625" style="27"/>
    <col min="12033" max="12033" width="35.5703125" style="27" customWidth="1"/>
    <col min="12034" max="12034" width="13.85546875" style="27" customWidth="1"/>
    <col min="12035" max="12035" width="11.42578125" style="27" customWidth="1"/>
    <col min="12036" max="12036" width="10.140625" style="27" customWidth="1"/>
    <col min="12037" max="12039" width="11" style="27" customWidth="1"/>
    <col min="12040" max="12040" width="10.42578125" style="27" bestFit="1" customWidth="1"/>
    <col min="12041" max="12041" width="9.28515625" style="27" customWidth="1"/>
    <col min="12042" max="12043" width="9.140625" style="27"/>
    <col min="12044" max="12044" width="9.5703125" style="27" customWidth="1"/>
    <col min="12045" max="12045" width="9.140625" style="27"/>
    <col min="12046" max="12046" width="12.7109375" style="27" customWidth="1"/>
    <col min="12047" max="12047" width="10.5703125" style="27" customWidth="1"/>
    <col min="12048" max="12288" width="9.140625" style="27"/>
    <col min="12289" max="12289" width="35.5703125" style="27" customWidth="1"/>
    <col min="12290" max="12290" width="13.85546875" style="27" customWidth="1"/>
    <col min="12291" max="12291" width="11.42578125" style="27" customWidth="1"/>
    <col min="12292" max="12292" width="10.140625" style="27" customWidth="1"/>
    <col min="12293" max="12295" width="11" style="27" customWidth="1"/>
    <col min="12296" max="12296" width="10.42578125" style="27" bestFit="1" customWidth="1"/>
    <col min="12297" max="12297" width="9.28515625" style="27" customWidth="1"/>
    <col min="12298" max="12299" width="9.140625" style="27"/>
    <col min="12300" max="12300" width="9.5703125" style="27" customWidth="1"/>
    <col min="12301" max="12301" width="9.140625" style="27"/>
    <col min="12302" max="12302" width="12.7109375" style="27" customWidth="1"/>
    <col min="12303" max="12303" width="10.5703125" style="27" customWidth="1"/>
    <col min="12304" max="12544" width="9.140625" style="27"/>
    <col min="12545" max="12545" width="35.5703125" style="27" customWidth="1"/>
    <col min="12546" max="12546" width="13.85546875" style="27" customWidth="1"/>
    <col min="12547" max="12547" width="11.42578125" style="27" customWidth="1"/>
    <col min="12548" max="12548" width="10.140625" style="27" customWidth="1"/>
    <col min="12549" max="12551" width="11" style="27" customWidth="1"/>
    <col min="12552" max="12552" width="10.42578125" style="27" bestFit="1" customWidth="1"/>
    <col min="12553" max="12553" width="9.28515625" style="27" customWidth="1"/>
    <col min="12554" max="12555" width="9.140625" style="27"/>
    <col min="12556" max="12556" width="9.5703125" style="27" customWidth="1"/>
    <col min="12557" max="12557" width="9.140625" style="27"/>
    <col min="12558" max="12558" width="12.7109375" style="27" customWidth="1"/>
    <col min="12559" max="12559" width="10.5703125" style="27" customWidth="1"/>
    <col min="12560" max="12800" width="9.140625" style="27"/>
    <col min="12801" max="12801" width="35.5703125" style="27" customWidth="1"/>
    <col min="12802" max="12802" width="13.85546875" style="27" customWidth="1"/>
    <col min="12803" max="12803" width="11.42578125" style="27" customWidth="1"/>
    <col min="12804" max="12804" width="10.140625" style="27" customWidth="1"/>
    <col min="12805" max="12807" width="11" style="27" customWidth="1"/>
    <col min="12808" max="12808" width="10.42578125" style="27" bestFit="1" customWidth="1"/>
    <col min="12809" max="12809" width="9.28515625" style="27" customWidth="1"/>
    <col min="12810" max="12811" width="9.140625" style="27"/>
    <col min="12812" max="12812" width="9.5703125" style="27" customWidth="1"/>
    <col min="12813" max="12813" width="9.140625" style="27"/>
    <col min="12814" max="12814" width="12.7109375" style="27" customWidth="1"/>
    <col min="12815" max="12815" width="10.5703125" style="27" customWidth="1"/>
    <col min="12816" max="13056" width="9.140625" style="27"/>
    <col min="13057" max="13057" width="35.5703125" style="27" customWidth="1"/>
    <col min="13058" max="13058" width="13.85546875" style="27" customWidth="1"/>
    <col min="13059" max="13059" width="11.42578125" style="27" customWidth="1"/>
    <col min="13060" max="13060" width="10.140625" style="27" customWidth="1"/>
    <col min="13061" max="13063" width="11" style="27" customWidth="1"/>
    <col min="13064" max="13064" width="10.42578125" style="27" bestFit="1" customWidth="1"/>
    <col min="13065" max="13065" width="9.28515625" style="27" customWidth="1"/>
    <col min="13066" max="13067" width="9.140625" style="27"/>
    <col min="13068" max="13068" width="9.5703125" style="27" customWidth="1"/>
    <col min="13069" max="13069" width="9.140625" style="27"/>
    <col min="13070" max="13070" width="12.7109375" style="27" customWidth="1"/>
    <col min="13071" max="13071" width="10.5703125" style="27" customWidth="1"/>
    <col min="13072" max="13312" width="9.140625" style="27"/>
    <col min="13313" max="13313" width="35.5703125" style="27" customWidth="1"/>
    <col min="13314" max="13314" width="13.85546875" style="27" customWidth="1"/>
    <col min="13315" max="13315" width="11.42578125" style="27" customWidth="1"/>
    <col min="13316" max="13316" width="10.140625" style="27" customWidth="1"/>
    <col min="13317" max="13319" width="11" style="27" customWidth="1"/>
    <col min="13320" max="13320" width="10.42578125" style="27" bestFit="1" customWidth="1"/>
    <col min="13321" max="13321" width="9.28515625" style="27" customWidth="1"/>
    <col min="13322" max="13323" width="9.140625" style="27"/>
    <col min="13324" max="13324" width="9.5703125" style="27" customWidth="1"/>
    <col min="13325" max="13325" width="9.140625" style="27"/>
    <col min="13326" max="13326" width="12.7109375" style="27" customWidth="1"/>
    <col min="13327" max="13327" width="10.5703125" style="27" customWidth="1"/>
    <col min="13328" max="13568" width="9.140625" style="27"/>
    <col min="13569" max="13569" width="35.5703125" style="27" customWidth="1"/>
    <col min="13570" max="13570" width="13.85546875" style="27" customWidth="1"/>
    <col min="13571" max="13571" width="11.42578125" style="27" customWidth="1"/>
    <col min="13572" max="13572" width="10.140625" style="27" customWidth="1"/>
    <col min="13573" max="13575" width="11" style="27" customWidth="1"/>
    <col min="13576" max="13576" width="10.42578125" style="27" bestFit="1" customWidth="1"/>
    <col min="13577" max="13577" width="9.28515625" style="27" customWidth="1"/>
    <col min="13578" max="13579" width="9.140625" style="27"/>
    <col min="13580" max="13580" width="9.5703125" style="27" customWidth="1"/>
    <col min="13581" max="13581" width="9.140625" style="27"/>
    <col min="13582" max="13582" width="12.7109375" style="27" customWidth="1"/>
    <col min="13583" max="13583" width="10.5703125" style="27" customWidth="1"/>
    <col min="13584" max="13824" width="9.140625" style="27"/>
    <col min="13825" max="13825" width="35.5703125" style="27" customWidth="1"/>
    <col min="13826" max="13826" width="13.85546875" style="27" customWidth="1"/>
    <col min="13827" max="13827" width="11.42578125" style="27" customWidth="1"/>
    <col min="13828" max="13828" width="10.140625" style="27" customWidth="1"/>
    <col min="13829" max="13831" width="11" style="27" customWidth="1"/>
    <col min="13832" max="13832" width="10.42578125" style="27" bestFit="1" customWidth="1"/>
    <col min="13833" max="13833" width="9.28515625" style="27" customWidth="1"/>
    <col min="13834" max="13835" width="9.140625" style="27"/>
    <col min="13836" max="13836" width="9.5703125" style="27" customWidth="1"/>
    <col min="13837" max="13837" width="9.140625" style="27"/>
    <col min="13838" max="13838" width="12.7109375" style="27" customWidth="1"/>
    <col min="13839" max="13839" width="10.5703125" style="27" customWidth="1"/>
    <col min="13840" max="14080" width="9.140625" style="27"/>
    <col min="14081" max="14081" width="35.5703125" style="27" customWidth="1"/>
    <col min="14082" max="14082" width="13.85546875" style="27" customWidth="1"/>
    <col min="14083" max="14083" width="11.42578125" style="27" customWidth="1"/>
    <col min="14084" max="14084" width="10.140625" style="27" customWidth="1"/>
    <col min="14085" max="14087" width="11" style="27" customWidth="1"/>
    <col min="14088" max="14088" width="10.42578125" style="27" bestFit="1" customWidth="1"/>
    <col min="14089" max="14089" width="9.28515625" style="27" customWidth="1"/>
    <col min="14090" max="14091" width="9.140625" style="27"/>
    <col min="14092" max="14092" width="9.5703125" style="27" customWidth="1"/>
    <col min="14093" max="14093" width="9.140625" style="27"/>
    <col min="14094" max="14094" width="12.7109375" style="27" customWidth="1"/>
    <col min="14095" max="14095" width="10.5703125" style="27" customWidth="1"/>
    <col min="14096" max="14336" width="9.140625" style="27"/>
    <col min="14337" max="14337" width="35.5703125" style="27" customWidth="1"/>
    <col min="14338" max="14338" width="13.85546875" style="27" customWidth="1"/>
    <col min="14339" max="14339" width="11.42578125" style="27" customWidth="1"/>
    <col min="14340" max="14340" width="10.140625" style="27" customWidth="1"/>
    <col min="14341" max="14343" width="11" style="27" customWidth="1"/>
    <col min="14344" max="14344" width="10.42578125" style="27" bestFit="1" customWidth="1"/>
    <col min="14345" max="14345" width="9.28515625" style="27" customWidth="1"/>
    <col min="14346" max="14347" width="9.140625" style="27"/>
    <col min="14348" max="14348" width="9.5703125" style="27" customWidth="1"/>
    <col min="14349" max="14349" width="9.140625" style="27"/>
    <col min="14350" max="14350" width="12.7109375" style="27" customWidth="1"/>
    <col min="14351" max="14351" width="10.5703125" style="27" customWidth="1"/>
    <col min="14352" max="14592" width="9.140625" style="27"/>
    <col min="14593" max="14593" width="35.5703125" style="27" customWidth="1"/>
    <col min="14594" max="14594" width="13.85546875" style="27" customWidth="1"/>
    <col min="14595" max="14595" width="11.42578125" style="27" customWidth="1"/>
    <col min="14596" max="14596" width="10.140625" style="27" customWidth="1"/>
    <col min="14597" max="14599" width="11" style="27" customWidth="1"/>
    <col min="14600" max="14600" width="10.42578125" style="27" bestFit="1" customWidth="1"/>
    <col min="14601" max="14601" width="9.28515625" style="27" customWidth="1"/>
    <col min="14602" max="14603" width="9.140625" style="27"/>
    <col min="14604" max="14604" width="9.5703125" style="27" customWidth="1"/>
    <col min="14605" max="14605" width="9.140625" style="27"/>
    <col min="14606" max="14606" width="12.7109375" style="27" customWidth="1"/>
    <col min="14607" max="14607" width="10.5703125" style="27" customWidth="1"/>
    <col min="14608" max="14848" width="9.140625" style="27"/>
    <col min="14849" max="14849" width="35.5703125" style="27" customWidth="1"/>
    <col min="14850" max="14850" width="13.85546875" style="27" customWidth="1"/>
    <col min="14851" max="14851" width="11.42578125" style="27" customWidth="1"/>
    <col min="14852" max="14852" width="10.140625" style="27" customWidth="1"/>
    <col min="14853" max="14855" width="11" style="27" customWidth="1"/>
    <col min="14856" max="14856" width="10.42578125" style="27" bestFit="1" customWidth="1"/>
    <col min="14857" max="14857" width="9.28515625" style="27" customWidth="1"/>
    <col min="14858" max="14859" width="9.140625" style="27"/>
    <col min="14860" max="14860" width="9.5703125" style="27" customWidth="1"/>
    <col min="14861" max="14861" width="9.140625" style="27"/>
    <col min="14862" max="14862" width="12.7109375" style="27" customWidth="1"/>
    <col min="14863" max="14863" width="10.5703125" style="27" customWidth="1"/>
    <col min="14864" max="15104" width="9.140625" style="27"/>
    <col min="15105" max="15105" width="35.5703125" style="27" customWidth="1"/>
    <col min="15106" max="15106" width="13.85546875" style="27" customWidth="1"/>
    <col min="15107" max="15107" width="11.42578125" style="27" customWidth="1"/>
    <col min="15108" max="15108" width="10.140625" style="27" customWidth="1"/>
    <col min="15109" max="15111" width="11" style="27" customWidth="1"/>
    <col min="15112" max="15112" width="10.42578125" style="27" bestFit="1" customWidth="1"/>
    <col min="15113" max="15113" width="9.28515625" style="27" customWidth="1"/>
    <col min="15114" max="15115" width="9.140625" style="27"/>
    <col min="15116" max="15116" width="9.5703125" style="27" customWidth="1"/>
    <col min="15117" max="15117" width="9.140625" style="27"/>
    <col min="15118" max="15118" width="12.7109375" style="27" customWidth="1"/>
    <col min="15119" max="15119" width="10.5703125" style="27" customWidth="1"/>
    <col min="15120" max="15360" width="9.140625" style="27"/>
    <col min="15361" max="15361" width="35.5703125" style="27" customWidth="1"/>
    <col min="15362" max="15362" width="13.85546875" style="27" customWidth="1"/>
    <col min="15363" max="15363" width="11.42578125" style="27" customWidth="1"/>
    <col min="15364" max="15364" width="10.140625" style="27" customWidth="1"/>
    <col min="15365" max="15367" width="11" style="27" customWidth="1"/>
    <col min="15368" max="15368" width="10.42578125" style="27" bestFit="1" customWidth="1"/>
    <col min="15369" max="15369" width="9.28515625" style="27" customWidth="1"/>
    <col min="15370" max="15371" width="9.140625" style="27"/>
    <col min="15372" max="15372" width="9.5703125" style="27" customWidth="1"/>
    <col min="15373" max="15373" width="9.140625" style="27"/>
    <col min="15374" max="15374" width="12.7109375" style="27" customWidth="1"/>
    <col min="15375" max="15375" width="10.5703125" style="27" customWidth="1"/>
    <col min="15376" max="15616" width="9.140625" style="27"/>
    <col min="15617" max="15617" width="35.5703125" style="27" customWidth="1"/>
    <col min="15618" max="15618" width="13.85546875" style="27" customWidth="1"/>
    <col min="15619" max="15619" width="11.42578125" style="27" customWidth="1"/>
    <col min="15620" max="15620" width="10.140625" style="27" customWidth="1"/>
    <col min="15621" max="15623" width="11" style="27" customWidth="1"/>
    <col min="15624" max="15624" width="10.42578125" style="27" bestFit="1" customWidth="1"/>
    <col min="15625" max="15625" width="9.28515625" style="27" customWidth="1"/>
    <col min="15626" max="15627" width="9.140625" style="27"/>
    <col min="15628" max="15628" width="9.5703125" style="27" customWidth="1"/>
    <col min="15629" max="15629" width="9.140625" style="27"/>
    <col min="15630" max="15630" width="12.7109375" style="27" customWidth="1"/>
    <col min="15631" max="15631" width="10.5703125" style="27" customWidth="1"/>
    <col min="15632" max="15872" width="9.140625" style="27"/>
    <col min="15873" max="15873" width="35.5703125" style="27" customWidth="1"/>
    <col min="15874" max="15874" width="13.85546875" style="27" customWidth="1"/>
    <col min="15875" max="15875" width="11.42578125" style="27" customWidth="1"/>
    <col min="15876" max="15876" width="10.140625" style="27" customWidth="1"/>
    <col min="15877" max="15879" width="11" style="27" customWidth="1"/>
    <col min="15880" max="15880" width="10.42578125" style="27" bestFit="1" customWidth="1"/>
    <col min="15881" max="15881" width="9.28515625" style="27" customWidth="1"/>
    <col min="15882" max="15883" width="9.140625" style="27"/>
    <col min="15884" max="15884" width="9.5703125" style="27" customWidth="1"/>
    <col min="15885" max="15885" width="9.140625" style="27"/>
    <col min="15886" max="15886" width="12.7109375" style="27" customWidth="1"/>
    <col min="15887" max="15887" width="10.5703125" style="27" customWidth="1"/>
    <col min="15888" max="16128" width="9.140625" style="27"/>
    <col min="16129" max="16129" width="35.5703125" style="27" customWidth="1"/>
    <col min="16130" max="16130" width="13.85546875" style="27" customWidth="1"/>
    <col min="16131" max="16131" width="11.42578125" style="27" customWidth="1"/>
    <col min="16132" max="16132" width="10.140625" style="27" customWidth="1"/>
    <col min="16133" max="16135" width="11" style="27" customWidth="1"/>
    <col min="16136" max="16136" width="10.42578125" style="27" bestFit="1" customWidth="1"/>
    <col min="16137" max="16137" width="9.28515625" style="27" customWidth="1"/>
    <col min="16138" max="16139" width="9.140625" style="27"/>
    <col min="16140" max="16140" width="9.5703125" style="27" customWidth="1"/>
    <col min="16141" max="16141" width="9.140625" style="27"/>
    <col min="16142" max="16142" width="12.7109375" style="27" customWidth="1"/>
    <col min="16143" max="16143" width="10.5703125" style="27" customWidth="1"/>
    <col min="16144" max="16384" width="9.140625" style="27"/>
  </cols>
  <sheetData>
    <row r="1" spans="1:15" ht="15.75">
      <c r="A1" s="758" t="s">
        <v>114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</row>
    <row r="2" spans="1:15" ht="15.75">
      <c r="A2" s="758" t="s">
        <v>269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</row>
    <row r="3" spans="1:15" ht="15">
      <c r="A3" s="462" t="s">
        <v>585</v>
      </c>
    </row>
    <row r="4" spans="1:15">
      <c r="A4" s="27" t="s">
        <v>268</v>
      </c>
      <c r="B4" s="757" t="s">
        <v>22</v>
      </c>
      <c r="C4" s="757"/>
      <c r="D4" s="757"/>
      <c r="E4" s="757" t="s">
        <v>267</v>
      </c>
      <c r="F4" s="757"/>
      <c r="G4" s="757"/>
      <c r="H4" s="757">
        <v>10</v>
      </c>
      <c r="I4" s="757"/>
      <c r="J4" s="27" t="s">
        <v>4</v>
      </c>
      <c r="L4" s="241">
        <v>5164.2929999999997</v>
      </c>
      <c r="M4" s="27" t="s">
        <v>115</v>
      </c>
      <c r="O4" s="241"/>
    </row>
    <row r="6" spans="1:15">
      <c r="A6" s="27" t="s">
        <v>266</v>
      </c>
      <c r="B6" s="757" t="s">
        <v>329</v>
      </c>
      <c r="C6" s="757"/>
      <c r="D6" s="757"/>
      <c r="E6" s="757" t="s">
        <v>264</v>
      </c>
      <c r="F6" s="757"/>
      <c r="G6" s="757"/>
      <c r="H6" s="757" t="s">
        <v>599</v>
      </c>
      <c r="I6" s="757"/>
      <c r="J6" s="757"/>
    </row>
    <row r="8" spans="1:15" ht="23.25" customHeight="1">
      <c r="A8" s="27" t="s">
        <v>598</v>
      </c>
      <c r="B8" s="670" t="s">
        <v>333</v>
      </c>
      <c r="C8" s="671"/>
      <c r="D8" s="672"/>
      <c r="E8" s="247"/>
      <c r="F8" s="247"/>
      <c r="G8" s="247"/>
      <c r="H8" s="754" t="s">
        <v>333</v>
      </c>
      <c r="I8" s="754"/>
      <c r="J8" s="754"/>
      <c r="K8" s="754"/>
      <c r="L8" s="754"/>
    </row>
    <row r="9" spans="1:15">
      <c r="B9" s="673"/>
      <c r="C9" s="674"/>
      <c r="D9" s="675"/>
      <c r="H9" s="754"/>
      <c r="I9" s="754"/>
      <c r="J9" s="754"/>
      <c r="K9" s="754"/>
      <c r="L9" s="754"/>
    </row>
    <row r="10" spans="1:15">
      <c r="B10" s="676"/>
      <c r="C10" s="677"/>
      <c r="D10" s="678"/>
    </row>
    <row r="12" spans="1:15">
      <c r="A12" s="27" t="s">
        <v>116</v>
      </c>
      <c r="B12" s="241">
        <v>35</v>
      </c>
      <c r="C12" s="27" t="s">
        <v>117</v>
      </c>
      <c r="G12" s="241">
        <v>33</v>
      </c>
      <c r="H12" s="27" t="s">
        <v>93</v>
      </c>
      <c r="I12" s="241">
        <v>58</v>
      </c>
      <c r="J12" s="27" t="s">
        <v>94</v>
      </c>
      <c r="K12" s="241">
        <v>13</v>
      </c>
      <c r="L12" s="27" t="s">
        <v>95</v>
      </c>
      <c r="M12" s="241"/>
    </row>
    <row r="15" spans="1:15">
      <c r="A15" s="27" t="s">
        <v>118</v>
      </c>
      <c r="B15" s="27" t="s">
        <v>40</v>
      </c>
      <c r="C15" s="241">
        <v>897</v>
      </c>
      <c r="D15" s="27" t="s">
        <v>41</v>
      </c>
      <c r="E15" s="241"/>
      <c r="F15" s="245"/>
      <c r="G15" s="246" t="s">
        <v>42</v>
      </c>
      <c r="H15" s="241"/>
      <c r="I15" s="27" t="s">
        <v>64</v>
      </c>
      <c r="J15" s="241">
        <v>897</v>
      </c>
      <c r="K15" s="27" t="s">
        <v>43</v>
      </c>
      <c r="L15" s="241"/>
      <c r="M15" s="27" t="s">
        <v>259</v>
      </c>
      <c r="O15" s="241">
        <v>247</v>
      </c>
    </row>
    <row r="16" spans="1:15">
      <c r="A16" s="27" t="s">
        <v>45</v>
      </c>
      <c r="B16" s="27" t="s">
        <v>46</v>
      </c>
      <c r="C16" s="241">
        <v>2249</v>
      </c>
      <c r="D16" s="27" t="s">
        <v>47</v>
      </c>
      <c r="E16" s="241"/>
      <c r="F16" s="245"/>
      <c r="G16" s="246" t="s">
        <v>48</v>
      </c>
      <c r="H16" s="241"/>
      <c r="I16" s="27" t="s">
        <v>77</v>
      </c>
      <c r="J16" s="241">
        <v>2249</v>
      </c>
    </row>
    <row r="17" spans="1:16">
      <c r="B17" s="27" t="s">
        <v>121</v>
      </c>
      <c r="C17" s="241">
        <v>2227</v>
      </c>
      <c r="D17" s="27" t="s">
        <v>50</v>
      </c>
      <c r="E17" s="241"/>
      <c r="F17" s="245"/>
      <c r="G17" s="27" t="s">
        <v>51</v>
      </c>
      <c r="H17" s="241"/>
      <c r="I17" s="27" t="s">
        <v>76</v>
      </c>
      <c r="J17" s="241">
        <v>2227</v>
      </c>
    </row>
    <row r="19" spans="1:16">
      <c r="A19" s="244" t="s">
        <v>52</v>
      </c>
    </row>
    <row r="20" spans="1:16" ht="24.95" customHeight="1">
      <c r="A20" s="755" t="s">
        <v>123</v>
      </c>
      <c r="B20" s="756" t="s">
        <v>597</v>
      </c>
      <c r="C20" s="756" t="s">
        <v>55</v>
      </c>
      <c r="D20" s="756" t="s">
        <v>125</v>
      </c>
      <c r="E20" s="756" t="s">
        <v>126</v>
      </c>
      <c r="F20" s="377"/>
      <c r="G20" s="757" t="s">
        <v>258</v>
      </c>
      <c r="H20" s="757"/>
      <c r="I20" s="757"/>
      <c r="J20" s="757"/>
      <c r="K20" s="757"/>
      <c r="L20" s="757"/>
      <c r="M20" s="757"/>
      <c r="N20" s="757"/>
      <c r="O20" s="757"/>
    </row>
    <row r="21" spans="1:16" ht="24.95" customHeight="1">
      <c r="A21" s="755"/>
      <c r="B21" s="756"/>
      <c r="C21" s="756"/>
      <c r="D21" s="756"/>
      <c r="E21" s="756"/>
      <c r="F21" s="241" t="s">
        <v>60</v>
      </c>
      <c r="G21" s="241" t="s">
        <v>61</v>
      </c>
      <c r="H21" s="241" t="s">
        <v>141</v>
      </c>
      <c r="I21" s="241" t="s">
        <v>140</v>
      </c>
      <c r="J21" s="241">
        <v>4</v>
      </c>
      <c r="K21" s="241">
        <v>5</v>
      </c>
      <c r="L21" s="241">
        <v>6</v>
      </c>
      <c r="M21" s="241">
        <v>7</v>
      </c>
      <c r="N21" s="241" t="s">
        <v>64</v>
      </c>
      <c r="O21" s="241" t="s">
        <v>112</v>
      </c>
    </row>
    <row r="22" spans="1:16">
      <c r="A22" s="241" t="s">
        <v>250</v>
      </c>
      <c r="B22" s="241">
        <v>500</v>
      </c>
      <c r="C22" s="243" t="s">
        <v>248</v>
      </c>
      <c r="D22" s="242">
        <f>ROUND((+B22*L4),0)/100000</f>
        <v>25.821470000000001</v>
      </c>
      <c r="E22" s="240">
        <f>1629900/100000</f>
        <v>16.298999999999999</v>
      </c>
      <c r="F22" s="241"/>
      <c r="G22" s="240">
        <f>960835/100000</f>
        <v>9.6083499999999997</v>
      </c>
      <c r="H22" s="240">
        <f>364782/100000</f>
        <v>3.6478199999999998</v>
      </c>
      <c r="I22" s="240">
        <f>229810/100000</f>
        <v>2.2980999999999998</v>
      </c>
      <c r="J22" s="236"/>
      <c r="K22" s="236"/>
      <c r="L22" s="236"/>
      <c r="M22" s="236"/>
      <c r="N22" s="240">
        <f>SUM(G22:M22)</f>
        <v>15.554269999999999</v>
      </c>
      <c r="O22" s="240">
        <f>+N22*100/E22</f>
        <v>95.430823976931094</v>
      </c>
    </row>
    <row r="23" spans="1:16">
      <c r="A23" s="241" t="s">
        <v>249</v>
      </c>
      <c r="B23" s="241">
        <v>360</v>
      </c>
      <c r="C23" s="243" t="s">
        <v>248</v>
      </c>
      <c r="D23" s="242">
        <f>ROUND((+B23*L4),0)/100000</f>
        <v>18.591449999999998</v>
      </c>
      <c r="E23" s="240">
        <f>420000/100000</f>
        <v>4.2</v>
      </c>
      <c r="F23" s="241"/>
      <c r="G23" s="240">
        <v>0</v>
      </c>
      <c r="H23" s="240">
        <f>116885/100000</f>
        <v>1.1688499999999999</v>
      </c>
      <c r="I23" s="240">
        <f>263705/100000</f>
        <v>2.6370499999999999</v>
      </c>
      <c r="J23" s="236"/>
      <c r="K23" s="236"/>
      <c r="L23" s="236"/>
      <c r="M23" s="236"/>
      <c r="N23" s="240">
        <f t="shared" ref="N23:N29" si="0">SUM(G23:M23)</f>
        <v>3.8058999999999998</v>
      </c>
      <c r="O23" s="240">
        <f t="shared" ref="O23:O30" si="1">+N23*100/E23</f>
        <v>90.61666666666666</v>
      </c>
    </row>
    <row r="24" spans="1:16">
      <c r="A24" s="241" t="s">
        <v>247</v>
      </c>
      <c r="B24" s="241">
        <v>8.4</v>
      </c>
      <c r="C24" s="241" t="s">
        <v>242</v>
      </c>
      <c r="D24" s="240">
        <f>12.15+8.4+23.1</f>
        <v>43.650000000000006</v>
      </c>
      <c r="E24" s="240">
        <v>12.15</v>
      </c>
      <c r="F24" s="240">
        <v>0.9</v>
      </c>
      <c r="G24" s="240">
        <v>3.2</v>
      </c>
      <c r="H24" s="240">
        <v>3.25</v>
      </c>
      <c r="I24" s="240">
        <f>0.85+3.93</f>
        <v>4.78</v>
      </c>
      <c r="J24" s="240"/>
      <c r="K24" s="240"/>
      <c r="L24" s="240"/>
      <c r="M24" s="241"/>
      <c r="N24" s="240">
        <f t="shared" si="0"/>
        <v>11.23</v>
      </c>
      <c r="O24" s="240">
        <f t="shared" si="1"/>
        <v>92.427983539094654</v>
      </c>
    </row>
    <row r="25" spans="1:16">
      <c r="A25" s="241" t="s">
        <v>246</v>
      </c>
      <c r="B25" s="241">
        <v>0.84</v>
      </c>
      <c r="C25" s="241" t="s">
        <v>242</v>
      </c>
      <c r="D25" s="240">
        <f>3.9+0.96+2.64-0.24-0.66</f>
        <v>6.6</v>
      </c>
      <c r="E25" s="240">
        <v>3.9</v>
      </c>
      <c r="F25" s="240">
        <f>0.225+0.135</f>
        <v>0.36</v>
      </c>
      <c r="G25" s="240">
        <f>0.8+0.48</f>
        <v>1.28</v>
      </c>
      <c r="H25" s="240">
        <f>0.812+0.487</f>
        <v>1.2989999999999999</v>
      </c>
      <c r="I25" s="240">
        <f>0.212+0.127+0.425+0.1</f>
        <v>0.86399999999999999</v>
      </c>
      <c r="J25" s="240"/>
      <c r="K25" s="240"/>
      <c r="L25" s="240"/>
      <c r="M25" s="241"/>
      <c r="N25" s="240">
        <f t="shared" si="0"/>
        <v>3.4429999999999996</v>
      </c>
      <c r="O25" s="240">
        <f t="shared" si="1"/>
        <v>88.28205128205127</v>
      </c>
    </row>
    <row r="26" spans="1:16">
      <c r="A26" s="241" t="s">
        <v>245</v>
      </c>
      <c r="B26" s="241">
        <v>3.6</v>
      </c>
      <c r="C26" s="241" t="s">
        <v>242</v>
      </c>
      <c r="D26" s="240">
        <f>7.16+3.6+9.9</f>
        <v>20.66</v>
      </c>
      <c r="E26" s="240">
        <v>7.16</v>
      </c>
      <c r="F26" s="240">
        <v>0.6</v>
      </c>
      <c r="G26" s="240">
        <v>2.08</v>
      </c>
      <c r="H26" s="240">
        <v>2.1</v>
      </c>
      <c r="I26" s="240">
        <f>0.72+1.52</f>
        <v>2.2400000000000002</v>
      </c>
      <c r="J26" s="240"/>
      <c r="K26" s="240"/>
      <c r="L26" s="240"/>
      <c r="M26" s="241"/>
      <c r="N26" s="240">
        <f t="shared" si="0"/>
        <v>6.42</v>
      </c>
      <c r="O26" s="240">
        <f t="shared" si="1"/>
        <v>89.664804469273747</v>
      </c>
    </row>
    <row r="27" spans="1:16">
      <c r="A27" s="241" t="s">
        <v>244</v>
      </c>
      <c r="B27" s="241">
        <v>0.24</v>
      </c>
      <c r="C27" s="241" t="s">
        <v>242</v>
      </c>
      <c r="D27" s="240">
        <f>0.74+0.24+0.66</f>
        <v>1.6400000000000001</v>
      </c>
      <c r="E27" s="240">
        <v>0.74</v>
      </c>
      <c r="F27" s="240">
        <v>0.06</v>
      </c>
      <c r="G27" s="240">
        <f>0.24</f>
        <v>0.24</v>
      </c>
      <c r="H27" s="240">
        <v>0.24</v>
      </c>
      <c r="I27" s="240">
        <f>0.12+0.14-0.02</f>
        <v>0.24000000000000002</v>
      </c>
      <c r="J27" s="240"/>
      <c r="K27" s="240"/>
      <c r="L27" s="240"/>
      <c r="M27" s="241"/>
      <c r="N27" s="240">
        <f t="shared" si="0"/>
        <v>0.72</v>
      </c>
      <c r="O27" s="240">
        <f t="shared" si="1"/>
        <v>97.297297297297305</v>
      </c>
    </row>
    <row r="28" spans="1:16">
      <c r="A28" s="241" t="s">
        <v>243</v>
      </c>
      <c r="B28" s="241">
        <v>0.24</v>
      </c>
      <c r="C28" s="241" t="s">
        <v>242</v>
      </c>
      <c r="D28" s="240">
        <f>1.126+0.36+0.99</f>
        <v>2.476</v>
      </c>
      <c r="E28" s="240">
        <v>1.1259999999999999</v>
      </c>
      <c r="F28" s="240">
        <v>8.8999999999999996E-2</v>
      </c>
      <c r="G28" s="240">
        <v>0.34699999999999998</v>
      </c>
      <c r="H28" s="240">
        <v>0.35099999999999998</v>
      </c>
      <c r="I28" s="240">
        <f>0.154+0.21-0.03</f>
        <v>0.33399999999999996</v>
      </c>
      <c r="J28" s="240"/>
      <c r="K28" s="240"/>
      <c r="L28" s="240"/>
      <c r="M28" s="241"/>
      <c r="N28" s="240">
        <f t="shared" si="0"/>
        <v>1.032</v>
      </c>
      <c r="O28" s="240">
        <f t="shared" si="1"/>
        <v>91.651865008881003</v>
      </c>
    </row>
    <row r="29" spans="1:16">
      <c r="A29" s="241" t="s">
        <v>113</v>
      </c>
      <c r="B29" s="241">
        <v>0.2</v>
      </c>
      <c r="C29" s="241" t="s">
        <v>241</v>
      </c>
      <c r="D29" s="240">
        <v>0.2</v>
      </c>
      <c r="E29" s="240">
        <v>0.2</v>
      </c>
      <c r="F29" s="236"/>
      <c r="G29" s="240">
        <v>0.2</v>
      </c>
      <c r="H29" s="240"/>
      <c r="I29" s="240"/>
      <c r="J29" s="240"/>
      <c r="K29" s="240"/>
      <c r="L29" s="240"/>
      <c r="M29" s="241"/>
      <c r="N29" s="240">
        <f t="shared" si="0"/>
        <v>0.2</v>
      </c>
      <c r="O29" s="240">
        <f t="shared" si="1"/>
        <v>100</v>
      </c>
    </row>
    <row r="30" spans="1:16">
      <c r="A30" s="239" t="s">
        <v>596</v>
      </c>
      <c r="B30" s="238"/>
      <c r="C30" s="238"/>
      <c r="D30" s="237">
        <f>SUM(D22:D29)</f>
        <v>119.63892</v>
      </c>
      <c r="E30" s="238">
        <f t="shared" ref="E30:N30" si="2">SUM(E22:E29)</f>
        <v>45.775000000000006</v>
      </c>
      <c r="F30" s="238">
        <f t="shared" si="2"/>
        <v>2.0089999999999999</v>
      </c>
      <c r="G30" s="236">
        <f t="shared" si="2"/>
        <v>16.955349999999999</v>
      </c>
      <c r="H30" s="238">
        <f t="shared" si="2"/>
        <v>12.05667</v>
      </c>
      <c r="I30" s="236">
        <f>SUM(I22:I29)</f>
        <v>13.393150000000002</v>
      </c>
      <c r="J30" s="238">
        <f t="shared" si="2"/>
        <v>0</v>
      </c>
      <c r="K30" s="238">
        <f t="shared" si="2"/>
        <v>0</v>
      </c>
      <c r="L30" s="238">
        <f t="shared" si="2"/>
        <v>0</v>
      </c>
      <c r="M30" s="237">
        <f t="shared" si="2"/>
        <v>0</v>
      </c>
      <c r="N30" s="236">
        <f t="shared" si="2"/>
        <v>42.405169999999998</v>
      </c>
      <c r="O30" s="236">
        <f t="shared" si="1"/>
        <v>92.638274167121779</v>
      </c>
      <c r="P30" s="235"/>
    </row>
  </sheetData>
  <mergeCells count="16">
    <mergeCell ref="B6:D6"/>
    <mergeCell ref="E6:G6"/>
    <mergeCell ref="H6:J6"/>
    <mergeCell ref="A1:O1"/>
    <mergeCell ref="A2:O2"/>
    <mergeCell ref="B4:D4"/>
    <mergeCell ref="E4:G4"/>
    <mergeCell ref="H4:I4"/>
    <mergeCell ref="B8:D10"/>
    <mergeCell ref="H8:L9"/>
    <mergeCell ref="A20:A21"/>
    <mergeCell ref="B20:B21"/>
    <mergeCell ref="C20:C21"/>
    <mergeCell ref="D20:D21"/>
    <mergeCell ref="E20:E21"/>
    <mergeCell ref="G20:O20"/>
  </mergeCells>
  <hyperlinks>
    <hyperlink ref="A3" location="'Fact Sheet of VDC'!A1" display="&lt;&lt;Back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A1:N31"/>
  <sheetViews>
    <sheetView workbookViewId="0">
      <selection activeCell="A3" sqref="A3"/>
    </sheetView>
  </sheetViews>
  <sheetFormatPr defaultRowHeight="12.75"/>
  <cols>
    <col min="1" max="1" width="40.140625" style="169" customWidth="1"/>
    <col min="2" max="2" width="12" style="169" customWidth="1"/>
    <col min="3" max="3" width="13.5703125" style="169" customWidth="1"/>
    <col min="4" max="4" width="11.140625" style="169" customWidth="1"/>
    <col min="5" max="5" width="9.140625" style="169"/>
    <col min="6" max="6" width="15.42578125" style="169" customWidth="1"/>
    <col min="7" max="7" width="12.42578125" style="169" customWidth="1"/>
    <col min="8" max="8" width="11.28515625" style="169" customWidth="1"/>
    <col min="9" max="9" width="10.7109375" style="169" customWidth="1"/>
    <col min="10" max="10" width="12.5703125" style="169" bestFit="1" customWidth="1"/>
    <col min="11" max="11" width="9.28515625" style="169" bestFit="1" customWidth="1"/>
    <col min="12" max="12" width="9.140625" style="169"/>
    <col min="13" max="13" width="11.7109375" style="169" customWidth="1"/>
    <col min="14" max="256" width="9.140625" style="169"/>
    <col min="257" max="257" width="40.140625" style="169" customWidth="1"/>
    <col min="258" max="258" width="12" style="169" customWidth="1"/>
    <col min="259" max="259" width="13.5703125" style="169" customWidth="1"/>
    <col min="260" max="260" width="11.140625" style="169" customWidth="1"/>
    <col min="261" max="261" width="9.140625" style="169"/>
    <col min="262" max="262" width="15.42578125" style="169" customWidth="1"/>
    <col min="263" max="263" width="12.42578125" style="169" customWidth="1"/>
    <col min="264" max="264" width="11.28515625" style="169" customWidth="1"/>
    <col min="265" max="265" width="10.7109375" style="169" customWidth="1"/>
    <col min="266" max="266" width="12.5703125" style="169" bestFit="1" customWidth="1"/>
    <col min="267" max="267" width="9.28515625" style="169" bestFit="1" customWidth="1"/>
    <col min="268" max="268" width="9.140625" style="169"/>
    <col min="269" max="269" width="11.7109375" style="169" customWidth="1"/>
    <col min="270" max="512" width="9.140625" style="169"/>
    <col min="513" max="513" width="40.140625" style="169" customWidth="1"/>
    <col min="514" max="514" width="12" style="169" customWidth="1"/>
    <col min="515" max="515" width="13.5703125" style="169" customWidth="1"/>
    <col min="516" max="516" width="11.140625" style="169" customWidth="1"/>
    <col min="517" max="517" width="9.140625" style="169"/>
    <col min="518" max="518" width="15.42578125" style="169" customWidth="1"/>
    <col min="519" max="519" width="12.42578125" style="169" customWidth="1"/>
    <col min="520" max="520" width="11.28515625" style="169" customWidth="1"/>
    <col min="521" max="521" width="10.7109375" style="169" customWidth="1"/>
    <col min="522" max="522" width="12.5703125" style="169" bestFit="1" customWidth="1"/>
    <col min="523" max="523" width="9.28515625" style="169" bestFit="1" customWidth="1"/>
    <col min="524" max="524" width="9.140625" style="169"/>
    <col min="525" max="525" width="11.7109375" style="169" customWidth="1"/>
    <col min="526" max="768" width="9.140625" style="169"/>
    <col min="769" max="769" width="40.140625" style="169" customWidth="1"/>
    <col min="770" max="770" width="12" style="169" customWidth="1"/>
    <col min="771" max="771" width="13.5703125" style="169" customWidth="1"/>
    <col min="772" max="772" width="11.140625" style="169" customWidth="1"/>
    <col min="773" max="773" width="9.140625" style="169"/>
    <col min="774" max="774" width="15.42578125" style="169" customWidth="1"/>
    <col min="775" max="775" width="12.42578125" style="169" customWidth="1"/>
    <col min="776" max="776" width="11.28515625" style="169" customWidth="1"/>
    <col min="777" max="777" width="10.7109375" style="169" customWidth="1"/>
    <col min="778" max="778" width="12.5703125" style="169" bestFit="1" customWidth="1"/>
    <col min="779" max="779" width="9.28515625" style="169" bestFit="1" customWidth="1"/>
    <col min="780" max="780" width="9.140625" style="169"/>
    <col min="781" max="781" width="11.7109375" style="169" customWidth="1"/>
    <col min="782" max="1024" width="9.140625" style="169"/>
    <col min="1025" max="1025" width="40.140625" style="169" customWidth="1"/>
    <col min="1026" max="1026" width="12" style="169" customWidth="1"/>
    <col min="1027" max="1027" width="13.5703125" style="169" customWidth="1"/>
    <col min="1028" max="1028" width="11.140625" style="169" customWidth="1"/>
    <col min="1029" max="1029" width="9.140625" style="169"/>
    <col min="1030" max="1030" width="15.42578125" style="169" customWidth="1"/>
    <col min="1031" max="1031" width="12.42578125" style="169" customWidth="1"/>
    <col min="1032" max="1032" width="11.28515625" style="169" customWidth="1"/>
    <col min="1033" max="1033" width="10.7109375" style="169" customWidth="1"/>
    <col min="1034" max="1034" width="12.5703125" style="169" bestFit="1" customWidth="1"/>
    <col min="1035" max="1035" width="9.28515625" style="169" bestFit="1" customWidth="1"/>
    <col min="1036" max="1036" width="9.140625" style="169"/>
    <col min="1037" max="1037" width="11.7109375" style="169" customWidth="1"/>
    <col min="1038" max="1280" width="9.140625" style="169"/>
    <col min="1281" max="1281" width="40.140625" style="169" customWidth="1"/>
    <col min="1282" max="1282" width="12" style="169" customWidth="1"/>
    <col min="1283" max="1283" width="13.5703125" style="169" customWidth="1"/>
    <col min="1284" max="1284" width="11.140625" style="169" customWidth="1"/>
    <col min="1285" max="1285" width="9.140625" style="169"/>
    <col min="1286" max="1286" width="15.42578125" style="169" customWidth="1"/>
    <col min="1287" max="1287" width="12.42578125" style="169" customWidth="1"/>
    <col min="1288" max="1288" width="11.28515625" style="169" customWidth="1"/>
    <col min="1289" max="1289" width="10.7109375" style="169" customWidth="1"/>
    <col min="1290" max="1290" width="12.5703125" style="169" bestFit="1" customWidth="1"/>
    <col min="1291" max="1291" width="9.28515625" style="169" bestFit="1" customWidth="1"/>
    <col min="1292" max="1292" width="9.140625" style="169"/>
    <col min="1293" max="1293" width="11.7109375" style="169" customWidth="1"/>
    <col min="1294" max="1536" width="9.140625" style="169"/>
    <col min="1537" max="1537" width="40.140625" style="169" customWidth="1"/>
    <col min="1538" max="1538" width="12" style="169" customWidth="1"/>
    <col min="1539" max="1539" width="13.5703125" style="169" customWidth="1"/>
    <col min="1540" max="1540" width="11.140625" style="169" customWidth="1"/>
    <col min="1541" max="1541" width="9.140625" style="169"/>
    <col min="1542" max="1542" width="15.42578125" style="169" customWidth="1"/>
    <col min="1543" max="1543" width="12.42578125" style="169" customWidth="1"/>
    <col min="1544" max="1544" width="11.28515625" style="169" customWidth="1"/>
    <col min="1545" max="1545" width="10.7109375" style="169" customWidth="1"/>
    <col min="1546" max="1546" width="12.5703125" style="169" bestFit="1" customWidth="1"/>
    <col min="1547" max="1547" width="9.28515625" style="169" bestFit="1" customWidth="1"/>
    <col min="1548" max="1548" width="9.140625" style="169"/>
    <col min="1549" max="1549" width="11.7109375" style="169" customWidth="1"/>
    <col min="1550" max="1792" width="9.140625" style="169"/>
    <col min="1793" max="1793" width="40.140625" style="169" customWidth="1"/>
    <col min="1794" max="1794" width="12" style="169" customWidth="1"/>
    <col min="1795" max="1795" width="13.5703125" style="169" customWidth="1"/>
    <col min="1796" max="1796" width="11.140625" style="169" customWidth="1"/>
    <col min="1797" max="1797" width="9.140625" style="169"/>
    <col min="1798" max="1798" width="15.42578125" style="169" customWidth="1"/>
    <col min="1799" max="1799" width="12.42578125" style="169" customWidth="1"/>
    <col min="1800" max="1800" width="11.28515625" style="169" customWidth="1"/>
    <col min="1801" max="1801" width="10.7109375" style="169" customWidth="1"/>
    <col min="1802" max="1802" width="12.5703125" style="169" bestFit="1" customWidth="1"/>
    <col min="1803" max="1803" width="9.28515625" style="169" bestFit="1" customWidth="1"/>
    <col min="1804" max="1804" width="9.140625" style="169"/>
    <col min="1805" max="1805" width="11.7109375" style="169" customWidth="1"/>
    <col min="1806" max="2048" width="9.140625" style="169"/>
    <col min="2049" max="2049" width="40.140625" style="169" customWidth="1"/>
    <col min="2050" max="2050" width="12" style="169" customWidth="1"/>
    <col min="2051" max="2051" width="13.5703125" style="169" customWidth="1"/>
    <col min="2052" max="2052" width="11.140625" style="169" customWidth="1"/>
    <col min="2053" max="2053" width="9.140625" style="169"/>
    <col min="2054" max="2054" width="15.42578125" style="169" customWidth="1"/>
    <col min="2055" max="2055" width="12.42578125" style="169" customWidth="1"/>
    <col min="2056" max="2056" width="11.28515625" style="169" customWidth="1"/>
    <col min="2057" max="2057" width="10.7109375" style="169" customWidth="1"/>
    <col min="2058" max="2058" width="12.5703125" style="169" bestFit="1" customWidth="1"/>
    <col min="2059" max="2059" width="9.28515625" style="169" bestFit="1" customWidth="1"/>
    <col min="2060" max="2060" width="9.140625" style="169"/>
    <col min="2061" max="2061" width="11.7109375" style="169" customWidth="1"/>
    <col min="2062" max="2304" width="9.140625" style="169"/>
    <col min="2305" max="2305" width="40.140625" style="169" customWidth="1"/>
    <col min="2306" max="2306" width="12" style="169" customWidth="1"/>
    <col min="2307" max="2307" width="13.5703125" style="169" customWidth="1"/>
    <col min="2308" max="2308" width="11.140625" style="169" customWidth="1"/>
    <col min="2309" max="2309" width="9.140625" style="169"/>
    <col min="2310" max="2310" width="15.42578125" style="169" customWidth="1"/>
    <col min="2311" max="2311" width="12.42578125" style="169" customWidth="1"/>
    <col min="2312" max="2312" width="11.28515625" style="169" customWidth="1"/>
    <col min="2313" max="2313" width="10.7109375" style="169" customWidth="1"/>
    <col min="2314" max="2314" width="12.5703125" style="169" bestFit="1" customWidth="1"/>
    <col min="2315" max="2315" width="9.28515625" style="169" bestFit="1" customWidth="1"/>
    <col min="2316" max="2316" width="9.140625" style="169"/>
    <col min="2317" max="2317" width="11.7109375" style="169" customWidth="1"/>
    <col min="2318" max="2560" width="9.140625" style="169"/>
    <col min="2561" max="2561" width="40.140625" style="169" customWidth="1"/>
    <col min="2562" max="2562" width="12" style="169" customWidth="1"/>
    <col min="2563" max="2563" width="13.5703125" style="169" customWidth="1"/>
    <col min="2564" max="2564" width="11.140625" style="169" customWidth="1"/>
    <col min="2565" max="2565" width="9.140625" style="169"/>
    <col min="2566" max="2566" width="15.42578125" style="169" customWidth="1"/>
    <col min="2567" max="2567" width="12.42578125" style="169" customWidth="1"/>
    <col min="2568" max="2568" width="11.28515625" style="169" customWidth="1"/>
    <col min="2569" max="2569" width="10.7109375" style="169" customWidth="1"/>
    <col min="2570" max="2570" width="12.5703125" style="169" bestFit="1" customWidth="1"/>
    <col min="2571" max="2571" width="9.28515625" style="169" bestFit="1" customWidth="1"/>
    <col min="2572" max="2572" width="9.140625" style="169"/>
    <col min="2573" max="2573" width="11.7109375" style="169" customWidth="1"/>
    <col min="2574" max="2816" width="9.140625" style="169"/>
    <col min="2817" max="2817" width="40.140625" style="169" customWidth="1"/>
    <col min="2818" max="2818" width="12" style="169" customWidth="1"/>
    <col min="2819" max="2819" width="13.5703125" style="169" customWidth="1"/>
    <col min="2820" max="2820" width="11.140625" style="169" customWidth="1"/>
    <col min="2821" max="2821" width="9.140625" style="169"/>
    <col min="2822" max="2822" width="15.42578125" style="169" customWidth="1"/>
    <col min="2823" max="2823" width="12.42578125" style="169" customWidth="1"/>
    <col min="2824" max="2824" width="11.28515625" style="169" customWidth="1"/>
    <col min="2825" max="2825" width="10.7109375" style="169" customWidth="1"/>
    <col min="2826" max="2826" width="12.5703125" style="169" bestFit="1" customWidth="1"/>
    <col min="2827" max="2827" width="9.28515625" style="169" bestFit="1" customWidth="1"/>
    <col min="2828" max="2828" width="9.140625" style="169"/>
    <col min="2829" max="2829" width="11.7109375" style="169" customWidth="1"/>
    <col min="2830" max="3072" width="9.140625" style="169"/>
    <col min="3073" max="3073" width="40.140625" style="169" customWidth="1"/>
    <col min="3074" max="3074" width="12" style="169" customWidth="1"/>
    <col min="3075" max="3075" width="13.5703125" style="169" customWidth="1"/>
    <col min="3076" max="3076" width="11.140625" style="169" customWidth="1"/>
    <col min="3077" max="3077" width="9.140625" style="169"/>
    <col min="3078" max="3078" width="15.42578125" style="169" customWidth="1"/>
    <col min="3079" max="3079" width="12.42578125" style="169" customWidth="1"/>
    <col min="3080" max="3080" width="11.28515625" style="169" customWidth="1"/>
    <col min="3081" max="3081" width="10.7109375" style="169" customWidth="1"/>
    <col min="3082" max="3082" width="12.5703125" style="169" bestFit="1" customWidth="1"/>
    <col min="3083" max="3083" width="9.28515625" style="169" bestFit="1" customWidth="1"/>
    <col min="3084" max="3084" width="9.140625" style="169"/>
    <col min="3085" max="3085" width="11.7109375" style="169" customWidth="1"/>
    <col min="3086" max="3328" width="9.140625" style="169"/>
    <col min="3329" max="3329" width="40.140625" style="169" customWidth="1"/>
    <col min="3330" max="3330" width="12" style="169" customWidth="1"/>
    <col min="3331" max="3331" width="13.5703125" style="169" customWidth="1"/>
    <col min="3332" max="3332" width="11.140625" style="169" customWidth="1"/>
    <col min="3333" max="3333" width="9.140625" style="169"/>
    <col min="3334" max="3334" width="15.42578125" style="169" customWidth="1"/>
    <col min="3335" max="3335" width="12.42578125" style="169" customWidth="1"/>
    <col min="3336" max="3336" width="11.28515625" style="169" customWidth="1"/>
    <col min="3337" max="3337" width="10.7109375" style="169" customWidth="1"/>
    <col min="3338" max="3338" width="12.5703125" style="169" bestFit="1" customWidth="1"/>
    <col min="3339" max="3339" width="9.28515625" style="169" bestFit="1" customWidth="1"/>
    <col min="3340" max="3340" width="9.140625" style="169"/>
    <col min="3341" max="3341" width="11.7109375" style="169" customWidth="1"/>
    <col min="3342" max="3584" width="9.140625" style="169"/>
    <col min="3585" max="3585" width="40.140625" style="169" customWidth="1"/>
    <col min="3586" max="3586" width="12" style="169" customWidth="1"/>
    <col min="3587" max="3587" width="13.5703125" style="169" customWidth="1"/>
    <col min="3588" max="3588" width="11.140625" style="169" customWidth="1"/>
    <col min="3589" max="3589" width="9.140625" style="169"/>
    <col min="3590" max="3590" width="15.42578125" style="169" customWidth="1"/>
    <col min="3591" max="3591" width="12.42578125" style="169" customWidth="1"/>
    <col min="3592" max="3592" width="11.28515625" style="169" customWidth="1"/>
    <col min="3593" max="3593" width="10.7109375" style="169" customWidth="1"/>
    <col min="3594" max="3594" width="12.5703125" style="169" bestFit="1" customWidth="1"/>
    <col min="3595" max="3595" width="9.28515625" style="169" bestFit="1" customWidth="1"/>
    <col min="3596" max="3596" width="9.140625" style="169"/>
    <col min="3597" max="3597" width="11.7109375" style="169" customWidth="1"/>
    <col min="3598" max="3840" width="9.140625" style="169"/>
    <col min="3841" max="3841" width="40.140625" style="169" customWidth="1"/>
    <col min="3842" max="3842" width="12" style="169" customWidth="1"/>
    <col min="3843" max="3843" width="13.5703125" style="169" customWidth="1"/>
    <col min="3844" max="3844" width="11.140625" style="169" customWidth="1"/>
    <col min="3845" max="3845" width="9.140625" style="169"/>
    <col min="3846" max="3846" width="15.42578125" style="169" customWidth="1"/>
    <col min="3847" max="3847" width="12.42578125" style="169" customWidth="1"/>
    <col min="3848" max="3848" width="11.28515625" style="169" customWidth="1"/>
    <col min="3849" max="3849" width="10.7109375" style="169" customWidth="1"/>
    <col min="3850" max="3850" width="12.5703125" style="169" bestFit="1" customWidth="1"/>
    <col min="3851" max="3851" width="9.28515625" style="169" bestFit="1" customWidth="1"/>
    <col min="3852" max="3852" width="9.140625" style="169"/>
    <col min="3853" max="3853" width="11.7109375" style="169" customWidth="1"/>
    <col min="3854" max="4096" width="9.140625" style="169"/>
    <col min="4097" max="4097" width="40.140625" style="169" customWidth="1"/>
    <col min="4098" max="4098" width="12" style="169" customWidth="1"/>
    <col min="4099" max="4099" width="13.5703125" style="169" customWidth="1"/>
    <col min="4100" max="4100" width="11.140625" style="169" customWidth="1"/>
    <col min="4101" max="4101" width="9.140625" style="169"/>
    <col min="4102" max="4102" width="15.42578125" style="169" customWidth="1"/>
    <col min="4103" max="4103" width="12.42578125" style="169" customWidth="1"/>
    <col min="4104" max="4104" width="11.28515625" style="169" customWidth="1"/>
    <col min="4105" max="4105" width="10.7109375" style="169" customWidth="1"/>
    <col min="4106" max="4106" width="12.5703125" style="169" bestFit="1" customWidth="1"/>
    <col min="4107" max="4107" width="9.28515625" style="169" bestFit="1" customWidth="1"/>
    <col min="4108" max="4108" width="9.140625" style="169"/>
    <col min="4109" max="4109" width="11.7109375" style="169" customWidth="1"/>
    <col min="4110" max="4352" width="9.140625" style="169"/>
    <col min="4353" max="4353" width="40.140625" style="169" customWidth="1"/>
    <col min="4354" max="4354" width="12" style="169" customWidth="1"/>
    <col min="4355" max="4355" width="13.5703125" style="169" customWidth="1"/>
    <col min="4356" max="4356" width="11.140625" style="169" customWidth="1"/>
    <col min="4357" max="4357" width="9.140625" style="169"/>
    <col min="4358" max="4358" width="15.42578125" style="169" customWidth="1"/>
    <col min="4359" max="4359" width="12.42578125" style="169" customWidth="1"/>
    <col min="4360" max="4360" width="11.28515625" style="169" customWidth="1"/>
    <col min="4361" max="4361" width="10.7109375" style="169" customWidth="1"/>
    <col min="4362" max="4362" width="12.5703125" style="169" bestFit="1" customWidth="1"/>
    <col min="4363" max="4363" width="9.28515625" style="169" bestFit="1" customWidth="1"/>
    <col min="4364" max="4364" width="9.140625" style="169"/>
    <col min="4365" max="4365" width="11.7109375" style="169" customWidth="1"/>
    <col min="4366" max="4608" width="9.140625" style="169"/>
    <col min="4609" max="4609" width="40.140625" style="169" customWidth="1"/>
    <col min="4610" max="4610" width="12" style="169" customWidth="1"/>
    <col min="4611" max="4611" width="13.5703125" style="169" customWidth="1"/>
    <col min="4612" max="4612" width="11.140625" style="169" customWidth="1"/>
    <col min="4613" max="4613" width="9.140625" style="169"/>
    <col min="4614" max="4614" width="15.42578125" style="169" customWidth="1"/>
    <col min="4615" max="4615" width="12.42578125" style="169" customWidth="1"/>
    <col min="4616" max="4616" width="11.28515625" style="169" customWidth="1"/>
    <col min="4617" max="4617" width="10.7109375" style="169" customWidth="1"/>
    <col min="4618" max="4618" width="12.5703125" style="169" bestFit="1" customWidth="1"/>
    <col min="4619" max="4619" width="9.28515625" style="169" bestFit="1" customWidth="1"/>
    <col min="4620" max="4620" width="9.140625" style="169"/>
    <col min="4621" max="4621" width="11.7109375" style="169" customWidth="1"/>
    <col min="4622" max="4864" width="9.140625" style="169"/>
    <col min="4865" max="4865" width="40.140625" style="169" customWidth="1"/>
    <col min="4866" max="4866" width="12" style="169" customWidth="1"/>
    <col min="4867" max="4867" width="13.5703125" style="169" customWidth="1"/>
    <col min="4868" max="4868" width="11.140625" style="169" customWidth="1"/>
    <col min="4869" max="4869" width="9.140625" style="169"/>
    <col min="4870" max="4870" width="15.42578125" style="169" customWidth="1"/>
    <col min="4871" max="4871" width="12.42578125" style="169" customWidth="1"/>
    <col min="4872" max="4872" width="11.28515625" style="169" customWidth="1"/>
    <col min="4873" max="4873" width="10.7109375" style="169" customWidth="1"/>
    <col min="4874" max="4874" width="12.5703125" style="169" bestFit="1" customWidth="1"/>
    <col min="4875" max="4875" width="9.28515625" style="169" bestFit="1" customWidth="1"/>
    <col min="4876" max="4876" width="9.140625" style="169"/>
    <col min="4877" max="4877" width="11.7109375" style="169" customWidth="1"/>
    <col min="4878" max="5120" width="9.140625" style="169"/>
    <col min="5121" max="5121" width="40.140625" style="169" customWidth="1"/>
    <col min="5122" max="5122" width="12" style="169" customWidth="1"/>
    <col min="5123" max="5123" width="13.5703125" style="169" customWidth="1"/>
    <col min="5124" max="5124" width="11.140625" style="169" customWidth="1"/>
    <col min="5125" max="5125" width="9.140625" style="169"/>
    <col min="5126" max="5126" width="15.42578125" style="169" customWidth="1"/>
    <col min="5127" max="5127" width="12.42578125" style="169" customWidth="1"/>
    <col min="5128" max="5128" width="11.28515625" style="169" customWidth="1"/>
    <col min="5129" max="5129" width="10.7109375" style="169" customWidth="1"/>
    <col min="5130" max="5130" width="12.5703125" style="169" bestFit="1" customWidth="1"/>
    <col min="5131" max="5131" width="9.28515625" style="169" bestFit="1" customWidth="1"/>
    <col min="5132" max="5132" width="9.140625" style="169"/>
    <col min="5133" max="5133" width="11.7109375" style="169" customWidth="1"/>
    <col min="5134" max="5376" width="9.140625" style="169"/>
    <col min="5377" max="5377" width="40.140625" style="169" customWidth="1"/>
    <col min="5378" max="5378" width="12" style="169" customWidth="1"/>
    <col min="5379" max="5379" width="13.5703125" style="169" customWidth="1"/>
    <col min="5380" max="5380" width="11.140625" style="169" customWidth="1"/>
    <col min="5381" max="5381" width="9.140625" style="169"/>
    <col min="5382" max="5382" width="15.42578125" style="169" customWidth="1"/>
    <col min="5383" max="5383" width="12.42578125" style="169" customWidth="1"/>
    <col min="5384" max="5384" width="11.28515625" style="169" customWidth="1"/>
    <col min="5385" max="5385" width="10.7109375" style="169" customWidth="1"/>
    <col min="5386" max="5386" width="12.5703125" style="169" bestFit="1" customWidth="1"/>
    <col min="5387" max="5387" width="9.28515625" style="169" bestFit="1" customWidth="1"/>
    <col min="5388" max="5388" width="9.140625" style="169"/>
    <col min="5389" max="5389" width="11.7109375" style="169" customWidth="1"/>
    <col min="5390" max="5632" width="9.140625" style="169"/>
    <col min="5633" max="5633" width="40.140625" style="169" customWidth="1"/>
    <col min="5634" max="5634" width="12" style="169" customWidth="1"/>
    <col min="5635" max="5635" width="13.5703125" style="169" customWidth="1"/>
    <col min="5636" max="5636" width="11.140625" style="169" customWidth="1"/>
    <col min="5637" max="5637" width="9.140625" style="169"/>
    <col min="5638" max="5638" width="15.42578125" style="169" customWidth="1"/>
    <col min="5639" max="5639" width="12.42578125" style="169" customWidth="1"/>
    <col min="5640" max="5640" width="11.28515625" style="169" customWidth="1"/>
    <col min="5641" max="5641" width="10.7109375" style="169" customWidth="1"/>
    <col min="5642" max="5642" width="12.5703125" style="169" bestFit="1" customWidth="1"/>
    <col min="5643" max="5643" width="9.28515625" style="169" bestFit="1" customWidth="1"/>
    <col min="5644" max="5644" width="9.140625" style="169"/>
    <col min="5645" max="5645" width="11.7109375" style="169" customWidth="1"/>
    <col min="5646" max="5888" width="9.140625" style="169"/>
    <col min="5889" max="5889" width="40.140625" style="169" customWidth="1"/>
    <col min="5890" max="5890" width="12" style="169" customWidth="1"/>
    <col min="5891" max="5891" width="13.5703125" style="169" customWidth="1"/>
    <col min="5892" max="5892" width="11.140625" style="169" customWidth="1"/>
    <col min="5893" max="5893" width="9.140625" style="169"/>
    <col min="5894" max="5894" width="15.42578125" style="169" customWidth="1"/>
    <col min="5895" max="5895" width="12.42578125" style="169" customWidth="1"/>
    <col min="5896" max="5896" width="11.28515625" style="169" customWidth="1"/>
    <col min="5897" max="5897" width="10.7109375" style="169" customWidth="1"/>
    <col min="5898" max="5898" width="12.5703125" style="169" bestFit="1" customWidth="1"/>
    <col min="5899" max="5899" width="9.28515625" style="169" bestFit="1" customWidth="1"/>
    <col min="5900" max="5900" width="9.140625" style="169"/>
    <col min="5901" max="5901" width="11.7109375" style="169" customWidth="1"/>
    <col min="5902" max="6144" width="9.140625" style="169"/>
    <col min="6145" max="6145" width="40.140625" style="169" customWidth="1"/>
    <col min="6146" max="6146" width="12" style="169" customWidth="1"/>
    <col min="6147" max="6147" width="13.5703125" style="169" customWidth="1"/>
    <col min="6148" max="6148" width="11.140625" style="169" customWidth="1"/>
    <col min="6149" max="6149" width="9.140625" style="169"/>
    <col min="6150" max="6150" width="15.42578125" style="169" customWidth="1"/>
    <col min="6151" max="6151" width="12.42578125" style="169" customWidth="1"/>
    <col min="6152" max="6152" width="11.28515625" style="169" customWidth="1"/>
    <col min="6153" max="6153" width="10.7109375" style="169" customWidth="1"/>
    <col min="6154" max="6154" width="12.5703125" style="169" bestFit="1" customWidth="1"/>
    <col min="6155" max="6155" width="9.28515625" style="169" bestFit="1" customWidth="1"/>
    <col min="6156" max="6156" width="9.140625" style="169"/>
    <col min="6157" max="6157" width="11.7109375" style="169" customWidth="1"/>
    <col min="6158" max="6400" width="9.140625" style="169"/>
    <col min="6401" max="6401" width="40.140625" style="169" customWidth="1"/>
    <col min="6402" max="6402" width="12" style="169" customWidth="1"/>
    <col min="6403" max="6403" width="13.5703125" style="169" customWidth="1"/>
    <col min="6404" max="6404" width="11.140625" style="169" customWidth="1"/>
    <col min="6405" max="6405" width="9.140625" style="169"/>
    <col min="6406" max="6406" width="15.42578125" style="169" customWidth="1"/>
    <col min="6407" max="6407" width="12.42578125" style="169" customWidth="1"/>
    <col min="6408" max="6408" width="11.28515625" style="169" customWidth="1"/>
    <col min="6409" max="6409" width="10.7109375" style="169" customWidth="1"/>
    <col min="6410" max="6410" width="12.5703125" style="169" bestFit="1" customWidth="1"/>
    <col min="6411" max="6411" width="9.28515625" style="169" bestFit="1" customWidth="1"/>
    <col min="6412" max="6412" width="9.140625" style="169"/>
    <col min="6413" max="6413" width="11.7109375" style="169" customWidth="1"/>
    <col min="6414" max="6656" width="9.140625" style="169"/>
    <col min="6657" max="6657" width="40.140625" style="169" customWidth="1"/>
    <col min="6658" max="6658" width="12" style="169" customWidth="1"/>
    <col min="6659" max="6659" width="13.5703125" style="169" customWidth="1"/>
    <col min="6660" max="6660" width="11.140625" style="169" customWidth="1"/>
    <col min="6661" max="6661" width="9.140625" style="169"/>
    <col min="6662" max="6662" width="15.42578125" style="169" customWidth="1"/>
    <col min="6663" max="6663" width="12.42578125" style="169" customWidth="1"/>
    <col min="6664" max="6664" width="11.28515625" style="169" customWidth="1"/>
    <col min="6665" max="6665" width="10.7109375" style="169" customWidth="1"/>
    <col min="6666" max="6666" width="12.5703125" style="169" bestFit="1" customWidth="1"/>
    <col min="6667" max="6667" width="9.28515625" style="169" bestFit="1" customWidth="1"/>
    <col min="6668" max="6668" width="9.140625" style="169"/>
    <col min="6669" max="6669" width="11.7109375" style="169" customWidth="1"/>
    <col min="6670" max="6912" width="9.140625" style="169"/>
    <col min="6913" max="6913" width="40.140625" style="169" customWidth="1"/>
    <col min="6914" max="6914" width="12" style="169" customWidth="1"/>
    <col min="6915" max="6915" width="13.5703125" style="169" customWidth="1"/>
    <col min="6916" max="6916" width="11.140625" style="169" customWidth="1"/>
    <col min="6917" max="6917" width="9.140625" style="169"/>
    <col min="6918" max="6918" width="15.42578125" style="169" customWidth="1"/>
    <col min="6919" max="6919" width="12.42578125" style="169" customWidth="1"/>
    <col min="6920" max="6920" width="11.28515625" style="169" customWidth="1"/>
    <col min="6921" max="6921" width="10.7109375" style="169" customWidth="1"/>
    <col min="6922" max="6922" width="12.5703125" style="169" bestFit="1" customWidth="1"/>
    <col min="6923" max="6923" width="9.28515625" style="169" bestFit="1" customWidth="1"/>
    <col min="6924" max="6924" width="9.140625" style="169"/>
    <col min="6925" max="6925" width="11.7109375" style="169" customWidth="1"/>
    <col min="6926" max="7168" width="9.140625" style="169"/>
    <col min="7169" max="7169" width="40.140625" style="169" customWidth="1"/>
    <col min="7170" max="7170" width="12" style="169" customWidth="1"/>
    <col min="7171" max="7171" width="13.5703125" style="169" customWidth="1"/>
    <col min="7172" max="7172" width="11.140625" style="169" customWidth="1"/>
    <col min="7173" max="7173" width="9.140625" style="169"/>
    <col min="7174" max="7174" width="15.42578125" style="169" customWidth="1"/>
    <col min="7175" max="7175" width="12.42578125" style="169" customWidth="1"/>
    <col min="7176" max="7176" width="11.28515625" style="169" customWidth="1"/>
    <col min="7177" max="7177" width="10.7109375" style="169" customWidth="1"/>
    <col min="7178" max="7178" width="12.5703125" style="169" bestFit="1" customWidth="1"/>
    <col min="7179" max="7179" width="9.28515625" style="169" bestFit="1" customWidth="1"/>
    <col min="7180" max="7180" width="9.140625" style="169"/>
    <col min="7181" max="7181" width="11.7109375" style="169" customWidth="1"/>
    <col min="7182" max="7424" width="9.140625" style="169"/>
    <col min="7425" max="7425" width="40.140625" style="169" customWidth="1"/>
    <col min="7426" max="7426" width="12" style="169" customWidth="1"/>
    <col min="7427" max="7427" width="13.5703125" style="169" customWidth="1"/>
    <col min="7428" max="7428" width="11.140625" style="169" customWidth="1"/>
    <col min="7429" max="7429" width="9.140625" style="169"/>
    <col min="7430" max="7430" width="15.42578125" style="169" customWidth="1"/>
    <col min="7431" max="7431" width="12.42578125" style="169" customWidth="1"/>
    <col min="7432" max="7432" width="11.28515625" style="169" customWidth="1"/>
    <col min="7433" max="7433" width="10.7109375" style="169" customWidth="1"/>
    <col min="7434" max="7434" width="12.5703125" style="169" bestFit="1" customWidth="1"/>
    <col min="7435" max="7435" width="9.28515625" style="169" bestFit="1" customWidth="1"/>
    <col min="7436" max="7436" width="9.140625" style="169"/>
    <col min="7437" max="7437" width="11.7109375" style="169" customWidth="1"/>
    <col min="7438" max="7680" width="9.140625" style="169"/>
    <col min="7681" max="7681" width="40.140625" style="169" customWidth="1"/>
    <col min="7682" max="7682" width="12" style="169" customWidth="1"/>
    <col min="7683" max="7683" width="13.5703125" style="169" customWidth="1"/>
    <col min="7684" max="7684" width="11.140625" style="169" customWidth="1"/>
    <col min="7685" max="7685" width="9.140625" style="169"/>
    <col min="7686" max="7686" width="15.42578125" style="169" customWidth="1"/>
    <col min="7687" max="7687" width="12.42578125" style="169" customWidth="1"/>
    <col min="7688" max="7688" width="11.28515625" style="169" customWidth="1"/>
    <col min="7689" max="7689" width="10.7109375" style="169" customWidth="1"/>
    <col min="7690" max="7690" width="12.5703125" style="169" bestFit="1" customWidth="1"/>
    <col min="7691" max="7691" width="9.28515625" style="169" bestFit="1" customWidth="1"/>
    <col min="7692" max="7692" width="9.140625" style="169"/>
    <col min="7693" max="7693" width="11.7109375" style="169" customWidth="1"/>
    <col min="7694" max="7936" width="9.140625" style="169"/>
    <col min="7937" max="7937" width="40.140625" style="169" customWidth="1"/>
    <col min="7938" max="7938" width="12" style="169" customWidth="1"/>
    <col min="7939" max="7939" width="13.5703125" style="169" customWidth="1"/>
    <col min="7940" max="7940" width="11.140625" style="169" customWidth="1"/>
    <col min="7941" max="7941" width="9.140625" style="169"/>
    <col min="7942" max="7942" width="15.42578125" style="169" customWidth="1"/>
    <col min="7943" max="7943" width="12.42578125" style="169" customWidth="1"/>
    <col min="7944" max="7944" width="11.28515625" style="169" customWidth="1"/>
    <col min="7945" max="7945" width="10.7109375" style="169" customWidth="1"/>
    <col min="7946" max="7946" width="12.5703125" style="169" bestFit="1" customWidth="1"/>
    <col min="7947" max="7947" width="9.28515625" style="169" bestFit="1" customWidth="1"/>
    <col min="7948" max="7948" width="9.140625" style="169"/>
    <col min="7949" max="7949" width="11.7109375" style="169" customWidth="1"/>
    <col min="7950" max="8192" width="9.140625" style="169"/>
    <col min="8193" max="8193" width="40.140625" style="169" customWidth="1"/>
    <col min="8194" max="8194" width="12" style="169" customWidth="1"/>
    <col min="8195" max="8195" width="13.5703125" style="169" customWidth="1"/>
    <col min="8196" max="8196" width="11.140625" style="169" customWidth="1"/>
    <col min="8197" max="8197" width="9.140625" style="169"/>
    <col min="8198" max="8198" width="15.42578125" style="169" customWidth="1"/>
    <col min="8199" max="8199" width="12.42578125" style="169" customWidth="1"/>
    <col min="8200" max="8200" width="11.28515625" style="169" customWidth="1"/>
    <col min="8201" max="8201" width="10.7109375" style="169" customWidth="1"/>
    <col min="8202" max="8202" width="12.5703125" style="169" bestFit="1" customWidth="1"/>
    <col min="8203" max="8203" width="9.28515625" style="169" bestFit="1" customWidth="1"/>
    <col min="8204" max="8204" width="9.140625" style="169"/>
    <col min="8205" max="8205" width="11.7109375" style="169" customWidth="1"/>
    <col min="8206" max="8448" width="9.140625" style="169"/>
    <col min="8449" max="8449" width="40.140625" style="169" customWidth="1"/>
    <col min="8450" max="8450" width="12" style="169" customWidth="1"/>
    <col min="8451" max="8451" width="13.5703125" style="169" customWidth="1"/>
    <col min="8452" max="8452" width="11.140625" style="169" customWidth="1"/>
    <col min="8453" max="8453" width="9.140625" style="169"/>
    <col min="8454" max="8454" width="15.42578125" style="169" customWidth="1"/>
    <col min="8455" max="8455" width="12.42578125" style="169" customWidth="1"/>
    <col min="8456" max="8456" width="11.28515625" style="169" customWidth="1"/>
    <col min="8457" max="8457" width="10.7109375" style="169" customWidth="1"/>
    <col min="8458" max="8458" width="12.5703125" style="169" bestFit="1" customWidth="1"/>
    <col min="8459" max="8459" width="9.28515625" style="169" bestFit="1" customWidth="1"/>
    <col min="8460" max="8460" width="9.140625" style="169"/>
    <col min="8461" max="8461" width="11.7109375" style="169" customWidth="1"/>
    <col min="8462" max="8704" width="9.140625" style="169"/>
    <col min="8705" max="8705" width="40.140625" style="169" customWidth="1"/>
    <col min="8706" max="8706" width="12" style="169" customWidth="1"/>
    <col min="8707" max="8707" width="13.5703125" style="169" customWidth="1"/>
    <col min="8708" max="8708" width="11.140625" style="169" customWidth="1"/>
    <col min="8709" max="8709" width="9.140625" style="169"/>
    <col min="8710" max="8710" width="15.42578125" style="169" customWidth="1"/>
    <col min="8711" max="8711" width="12.42578125" style="169" customWidth="1"/>
    <col min="8712" max="8712" width="11.28515625" style="169" customWidth="1"/>
    <col min="8713" max="8713" width="10.7109375" style="169" customWidth="1"/>
    <col min="8714" max="8714" width="12.5703125" style="169" bestFit="1" customWidth="1"/>
    <col min="8715" max="8715" width="9.28515625" style="169" bestFit="1" customWidth="1"/>
    <col min="8716" max="8716" width="9.140625" style="169"/>
    <col min="8717" max="8717" width="11.7109375" style="169" customWidth="1"/>
    <col min="8718" max="8960" width="9.140625" style="169"/>
    <col min="8961" max="8961" width="40.140625" style="169" customWidth="1"/>
    <col min="8962" max="8962" width="12" style="169" customWidth="1"/>
    <col min="8963" max="8963" width="13.5703125" style="169" customWidth="1"/>
    <col min="8964" max="8964" width="11.140625" style="169" customWidth="1"/>
    <col min="8965" max="8965" width="9.140625" style="169"/>
    <col min="8966" max="8966" width="15.42578125" style="169" customWidth="1"/>
    <col min="8967" max="8967" width="12.42578125" style="169" customWidth="1"/>
    <col min="8968" max="8968" width="11.28515625" style="169" customWidth="1"/>
    <col min="8969" max="8969" width="10.7109375" style="169" customWidth="1"/>
    <col min="8970" max="8970" width="12.5703125" style="169" bestFit="1" customWidth="1"/>
    <col min="8971" max="8971" width="9.28515625" style="169" bestFit="1" customWidth="1"/>
    <col min="8972" max="8972" width="9.140625" style="169"/>
    <col min="8973" max="8973" width="11.7109375" style="169" customWidth="1"/>
    <col min="8974" max="9216" width="9.140625" style="169"/>
    <col min="9217" max="9217" width="40.140625" style="169" customWidth="1"/>
    <col min="9218" max="9218" width="12" style="169" customWidth="1"/>
    <col min="9219" max="9219" width="13.5703125" style="169" customWidth="1"/>
    <col min="9220" max="9220" width="11.140625" style="169" customWidth="1"/>
    <col min="9221" max="9221" width="9.140625" style="169"/>
    <col min="9222" max="9222" width="15.42578125" style="169" customWidth="1"/>
    <col min="9223" max="9223" width="12.42578125" style="169" customWidth="1"/>
    <col min="9224" max="9224" width="11.28515625" style="169" customWidth="1"/>
    <col min="9225" max="9225" width="10.7109375" style="169" customWidth="1"/>
    <col min="9226" max="9226" width="12.5703125" style="169" bestFit="1" customWidth="1"/>
    <col min="9227" max="9227" width="9.28515625" style="169" bestFit="1" customWidth="1"/>
    <col min="9228" max="9228" width="9.140625" style="169"/>
    <col min="9229" max="9229" width="11.7109375" style="169" customWidth="1"/>
    <col min="9230" max="9472" width="9.140625" style="169"/>
    <col min="9473" max="9473" width="40.140625" style="169" customWidth="1"/>
    <col min="9474" max="9474" width="12" style="169" customWidth="1"/>
    <col min="9475" max="9475" width="13.5703125" style="169" customWidth="1"/>
    <col min="9476" max="9476" width="11.140625" style="169" customWidth="1"/>
    <col min="9477" max="9477" width="9.140625" style="169"/>
    <col min="9478" max="9478" width="15.42578125" style="169" customWidth="1"/>
    <col min="9479" max="9479" width="12.42578125" style="169" customWidth="1"/>
    <col min="9480" max="9480" width="11.28515625" style="169" customWidth="1"/>
    <col min="9481" max="9481" width="10.7109375" style="169" customWidth="1"/>
    <col min="9482" max="9482" width="12.5703125" style="169" bestFit="1" customWidth="1"/>
    <col min="9483" max="9483" width="9.28515625" style="169" bestFit="1" customWidth="1"/>
    <col min="9484" max="9484" width="9.140625" style="169"/>
    <col min="9485" max="9485" width="11.7109375" style="169" customWidth="1"/>
    <col min="9486" max="9728" width="9.140625" style="169"/>
    <col min="9729" max="9729" width="40.140625" style="169" customWidth="1"/>
    <col min="9730" max="9730" width="12" style="169" customWidth="1"/>
    <col min="9731" max="9731" width="13.5703125" style="169" customWidth="1"/>
    <col min="9732" max="9732" width="11.140625" style="169" customWidth="1"/>
    <col min="9733" max="9733" width="9.140625" style="169"/>
    <col min="9734" max="9734" width="15.42578125" style="169" customWidth="1"/>
    <col min="9735" max="9735" width="12.42578125" style="169" customWidth="1"/>
    <col min="9736" max="9736" width="11.28515625" style="169" customWidth="1"/>
    <col min="9737" max="9737" width="10.7109375" style="169" customWidth="1"/>
    <col min="9738" max="9738" width="12.5703125" style="169" bestFit="1" customWidth="1"/>
    <col min="9739" max="9739" width="9.28515625" style="169" bestFit="1" customWidth="1"/>
    <col min="9740" max="9740" width="9.140625" style="169"/>
    <col min="9741" max="9741" width="11.7109375" style="169" customWidth="1"/>
    <col min="9742" max="9984" width="9.140625" style="169"/>
    <col min="9985" max="9985" width="40.140625" style="169" customWidth="1"/>
    <col min="9986" max="9986" width="12" style="169" customWidth="1"/>
    <col min="9987" max="9987" width="13.5703125" style="169" customWidth="1"/>
    <col min="9988" max="9988" width="11.140625" style="169" customWidth="1"/>
    <col min="9989" max="9989" width="9.140625" style="169"/>
    <col min="9990" max="9990" width="15.42578125" style="169" customWidth="1"/>
    <col min="9991" max="9991" width="12.42578125" style="169" customWidth="1"/>
    <col min="9992" max="9992" width="11.28515625" style="169" customWidth="1"/>
    <col min="9993" max="9993" width="10.7109375" style="169" customWidth="1"/>
    <col min="9994" max="9994" width="12.5703125" style="169" bestFit="1" customWidth="1"/>
    <col min="9995" max="9995" width="9.28515625" style="169" bestFit="1" customWidth="1"/>
    <col min="9996" max="9996" width="9.140625" style="169"/>
    <col min="9997" max="9997" width="11.7109375" style="169" customWidth="1"/>
    <col min="9998" max="10240" width="9.140625" style="169"/>
    <col min="10241" max="10241" width="40.140625" style="169" customWidth="1"/>
    <col min="10242" max="10242" width="12" style="169" customWidth="1"/>
    <col min="10243" max="10243" width="13.5703125" style="169" customWidth="1"/>
    <col min="10244" max="10244" width="11.140625" style="169" customWidth="1"/>
    <col min="10245" max="10245" width="9.140625" style="169"/>
    <col min="10246" max="10246" width="15.42578125" style="169" customWidth="1"/>
    <col min="10247" max="10247" width="12.42578125" style="169" customWidth="1"/>
    <col min="10248" max="10248" width="11.28515625" style="169" customWidth="1"/>
    <col min="10249" max="10249" width="10.7109375" style="169" customWidth="1"/>
    <col min="10250" max="10250" width="12.5703125" style="169" bestFit="1" customWidth="1"/>
    <col min="10251" max="10251" width="9.28515625" style="169" bestFit="1" customWidth="1"/>
    <col min="10252" max="10252" width="9.140625" style="169"/>
    <col min="10253" max="10253" width="11.7109375" style="169" customWidth="1"/>
    <col min="10254" max="10496" width="9.140625" style="169"/>
    <col min="10497" max="10497" width="40.140625" style="169" customWidth="1"/>
    <col min="10498" max="10498" width="12" style="169" customWidth="1"/>
    <col min="10499" max="10499" width="13.5703125" style="169" customWidth="1"/>
    <col min="10500" max="10500" width="11.140625" style="169" customWidth="1"/>
    <col min="10501" max="10501" width="9.140625" style="169"/>
    <col min="10502" max="10502" width="15.42578125" style="169" customWidth="1"/>
    <col min="10503" max="10503" width="12.42578125" style="169" customWidth="1"/>
    <col min="10504" max="10504" width="11.28515625" style="169" customWidth="1"/>
    <col min="10505" max="10505" width="10.7109375" style="169" customWidth="1"/>
    <col min="10506" max="10506" width="12.5703125" style="169" bestFit="1" customWidth="1"/>
    <col min="10507" max="10507" width="9.28515625" style="169" bestFit="1" customWidth="1"/>
    <col min="10508" max="10508" width="9.140625" style="169"/>
    <col min="10509" max="10509" width="11.7109375" style="169" customWidth="1"/>
    <col min="10510" max="10752" width="9.140625" style="169"/>
    <col min="10753" max="10753" width="40.140625" style="169" customWidth="1"/>
    <col min="10754" max="10754" width="12" style="169" customWidth="1"/>
    <col min="10755" max="10755" width="13.5703125" style="169" customWidth="1"/>
    <col min="10756" max="10756" width="11.140625" style="169" customWidth="1"/>
    <col min="10757" max="10757" width="9.140625" style="169"/>
    <col min="10758" max="10758" width="15.42578125" style="169" customWidth="1"/>
    <col min="10759" max="10759" width="12.42578125" style="169" customWidth="1"/>
    <col min="10760" max="10760" width="11.28515625" style="169" customWidth="1"/>
    <col min="10761" max="10761" width="10.7109375" style="169" customWidth="1"/>
    <col min="10762" max="10762" width="12.5703125" style="169" bestFit="1" customWidth="1"/>
    <col min="10763" max="10763" width="9.28515625" style="169" bestFit="1" customWidth="1"/>
    <col min="10764" max="10764" width="9.140625" style="169"/>
    <col min="10765" max="10765" width="11.7109375" style="169" customWidth="1"/>
    <col min="10766" max="11008" width="9.140625" style="169"/>
    <col min="11009" max="11009" width="40.140625" style="169" customWidth="1"/>
    <col min="11010" max="11010" width="12" style="169" customWidth="1"/>
    <col min="11011" max="11011" width="13.5703125" style="169" customWidth="1"/>
    <col min="11012" max="11012" width="11.140625" style="169" customWidth="1"/>
    <col min="11013" max="11013" width="9.140625" style="169"/>
    <col min="11014" max="11014" width="15.42578125" style="169" customWidth="1"/>
    <col min="11015" max="11015" width="12.42578125" style="169" customWidth="1"/>
    <col min="11016" max="11016" width="11.28515625" style="169" customWidth="1"/>
    <col min="11017" max="11017" width="10.7109375" style="169" customWidth="1"/>
    <col min="11018" max="11018" width="12.5703125" style="169" bestFit="1" customWidth="1"/>
    <col min="11019" max="11019" width="9.28515625" style="169" bestFit="1" customWidth="1"/>
    <col min="11020" max="11020" width="9.140625" style="169"/>
    <col min="11021" max="11021" width="11.7109375" style="169" customWidth="1"/>
    <col min="11022" max="11264" width="9.140625" style="169"/>
    <col min="11265" max="11265" width="40.140625" style="169" customWidth="1"/>
    <col min="11266" max="11266" width="12" style="169" customWidth="1"/>
    <col min="11267" max="11267" width="13.5703125" style="169" customWidth="1"/>
    <col min="11268" max="11268" width="11.140625" style="169" customWidth="1"/>
    <col min="11269" max="11269" width="9.140625" style="169"/>
    <col min="11270" max="11270" width="15.42578125" style="169" customWidth="1"/>
    <col min="11271" max="11271" width="12.42578125" style="169" customWidth="1"/>
    <col min="11272" max="11272" width="11.28515625" style="169" customWidth="1"/>
    <col min="11273" max="11273" width="10.7109375" style="169" customWidth="1"/>
    <col min="11274" max="11274" width="12.5703125" style="169" bestFit="1" customWidth="1"/>
    <col min="11275" max="11275" width="9.28515625" style="169" bestFit="1" customWidth="1"/>
    <col min="11276" max="11276" width="9.140625" style="169"/>
    <col min="11277" max="11277" width="11.7109375" style="169" customWidth="1"/>
    <col min="11278" max="11520" width="9.140625" style="169"/>
    <col min="11521" max="11521" width="40.140625" style="169" customWidth="1"/>
    <col min="11522" max="11522" width="12" style="169" customWidth="1"/>
    <col min="11523" max="11523" width="13.5703125" style="169" customWidth="1"/>
    <col min="11524" max="11524" width="11.140625" style="169" customWidth="1"/>
    <col min="11525" max="11525" width="9.140625" style="169"/>
    <col min="11526" max="11526" width="15.42578125" style="169" customWidth="1"/>
    <col min="11527" max="11527" width="12.42578125" style="169" customWidth="1"/>
    <col min="11528" max="11528" width="11.28515625" style="169" customWidth="1"/>
    <col min="11529" max="11529" width="10.7109375" style="169" customWidth="1"/>
    <col min="11530" max="11530" width="12.5703125" style="169" bestFit="1" customWidth="1"/>
    <col min="11531" max="11531" width="9.28515625" style="169" bestFit="1" customWidth="1"/>
    <col min="11532" max="11532" width="9.140625" style="169"/>
    <col min="11533" max="11533" width="11.7109375" style="169" customWidth="1"/>
    <col min="11534" max="11776" width="9.140625" style="169"/>
    <col min="11777" max="11777" width="40.140625" style="169" customWidth="1"/>
    <col min="11778" max="11778" width="12" style="169" customWidth="1"/>
    <col min="11779" max="11779" width="13.5703125" style="169" customWidth="1"/>
    <col min="11780" max="11780" width="11.140625" style="169" customWidth="1"/>
    <col min="11781" max="11781" width="9.140625" style="169"/>
    <col min="11782" max="11782" width="15.42578125" style="169" customWidth="1"/>
    <col min="11783" max="11783" width="12.42578125" style="169" customWidth="1"/>
    <col min="11784" max="11784" width="11.28515625" style="169" customWidth="1"/>
    <col min="11785" max="11785" width="10.7109375" style="169" customWidth="1"/>
    <col min="11786" max="11786" width="12.5703125" style="169" bestFit="1" customWidth="1"/>
    <col min="11787" max="11787" width="9.28515625" style="169" bestFit="1" customWidth="1"/>
    <col min="11788" max="11788" width="9.140625" style="169"/>
    <col min="11789" max="11789" width="11.7109375" style="169" customWidth="1"/>
    <col min="11790" max="12032" width="9.140625" style="169"/>
    <col min="12033" max="12033" width="40.140625" style="169" customWidth="1"/>
    <col min="12034" max="12034" width="12" style="169" customWidth="1"/>
    <col min="12035" max="12035" width="13.5703125" style="169" customWidth="1"/>
    <col min="12036" max="12036" width="11.140625" style="169" customWidth="1"/>
    <col min="12037" max="12037" width="9.140625" style="169"/>
    <col min="12038" max="12038" width="15.42578125" style="169" customWidth="1"/>
    <col min="12039" max="12039" width="12.42578125" style="169" customWidth="1"/>
    <col min="12040" max="12040" width="11.28515625" style="169" customWidth="1"/>
    <col min="12041" max="12041" width="10.7109375" style="169" customWidth="1"/>
    <col min="12042" max="12042" width="12.5703125" style="169" bestFit="1" customWidth="1"/>
    <col min="12043" max="12043" width="9.28515625" style="169" bestFit="1" customWidth="1"/>
    <col min="12044" max="12044" width="9.140625" style="169"/>
    <col min="12045" max="12045" width="11.7109375" style="169" customWidth="1"/>
    <col min="12046" max="12288" width="9.140625" style="169"/>
    <col min="12289" max="12289" width="40.140625" style="169" customWidth="1"/>
    <col min="12290" max="12290" width="12" style="169" customWidth="1"/>
    <col min="12291" max="12291" width="13.5703125" style="169" customWidth="1"/>
    <col min="12292" max="12292" width="11.140625" style="169" customWidth="1"/>
    <col min="12293" max="12293" width="9.140625" style="169"/>
    <col min="12294" max="12294" width="15.42578125" style="169" customWidth="1"/>
    <col min="12295" max="12295" width="12.42578125" style="169" customWidth="1"/>
    <col min="12296" max="12296" width="11.28515625" style="169" customWidth="1"/>
    <col min="12297" max="12297" width="10.7109375" style="169" customWidth="1"/>
    <col min="12298" max="12298" width="12.5703125" style="169" bestFit="1" customWidth="1"/>
    <col min="12299" max="12299" width="9.28515625" style="169" bestFit="1" customWidth="1"/>
    <col min="12300" max="12300" width="9.140625" style="169"/>
    <col min="12301" max="12301" width="11.7109375" style="169" customWidth="1"/>
    <col min="12302" max="12544" width="9.140625" style="169"/>
    <col min="12545" max="12545" width="40.140625" style="169" customWidth="1"/>
    <col min="12546" max="12546" width="12" style="169" customWidth="1"/>
    <col min="12547" max="12547" width="13.5703125" style="169" customWidth="1"/>
    <col min="12548" max="12548" width="11.140625" style="169" customWidth="1"/>
    <col min="12549" max="12549" width="9.140625" style="169"/>
    <col min="12550" max="12550" width="15.42578125" style="169" customWidth="1"/>
    <col min="12551" max="12551" width="12.42578125" style="169" customWidth="1"/>
    <col min="12552" max="12552" width="11.28515625" style="169" customWidth="1"/>
    <col min="12553" max="12553" width="10.7109375" style="169" customWidth="1"/>
    <col min="12554" max="12554" width="12.5703125" style="169" bestFit="1" customWidth="1"/>
    <col min="12555" max="12555" width="9.28515625" style="169" bestFit="1" customWidth="1"/>
    <col min="12556" max="12556" width="9.140625" style="169"/>
    <col min="12557" max="12557" width="11.7109375" style="169" customWidth="1"/>
    <col min="12558" max="12800" width="9.140625" style="169"/>
    <col min="12801" max="12801" width="40.140625" style="169" customWidth="1"/>
    <col min="12802" max="12802" width="12" style="169" customWidth="1"/>
    <col min="12803" max="12803" width="13.5703125" style="169" customWidth="1"/>
    <col min="12804" max="12804" width="11.140625" style="169" customWidth="1"/>
    <col min="12805" max="12805" width="9.140625" style="169"/>
    <col min="12806" max="12806" width="15.42578125" style="169" customWidth="1"/>
    <col min="12807" max="12807" width="12.42578125" style="169" customWidth="1"/>
    <col min="12808" max="12808" width="11.28515625" style="169" customWidth="1"/>
    <col min="12809" max="12809" width="10.7109375" style="169" customWidth="1"/>
    <col min="12810" max="12810" width="12.5703125" style="169" bestFit="1" customWidth="1"/>
    <col min="12811" max="12811" width="9.28515625" style="169" bestFit="1" customWidth="1"/>
    <col min="12812" max="12812" width="9.140625" style="169"/>
    <col min="12813" max="12813" width="11.7109375" style="169" customWidth="1"/>
    <col min="12814" max="13056" width="9.140625" style="169"/>
    <col min="13057" max="13057" width="40.140625" style="169" customWidth="1"/>
    <col min="13058" max="13058" width="12" style="169" customWidth="1"/>
    <col min="13059" max="13059" width="13.5703125" style="169" customWidth="1"/>
    <col min="13060" max="13060" width="11.140625" style="169" customWidth="1"/>
    <col min="13061" max="13061" width="9.140625" style="169"/>
    <col min="13062" max="13062" width="15.42578125" style="169" customWidth="1"/>
    <col min="13063" max="13063" width="12.42578125" style="169" customWidth="1"/>
    <col min="13064" max="13064" width="11.28515625" style="169" customWidth="1"/>
    <col min="13065" max="13065" width="10.7109375" style="169" customWidth="1"/>
    <col min="13066" max="13066" width="12.5703125" style="169" bestFit="1" customWidth="1"/>
    <col min="13067" max="13067" width="9.28515625" style="169" bestFit="1" customWidth="1"/>
    <col min="13068" max="13068" width="9.140625" style="169"/>
    <col min="13069" max="13069" width="11.7109375" style="169" customWidth="1"/>
    <col min="13070" max="13312" width="9.140625" style="169"/>
    <col min="13313" max="13313" width="40.140625" style="169" customWidth="1"/>
    <col min="13314" max="13314" width="12" style="169" customWidth="1"/>
    <col min="13315" max="13315" width="13.5703125" style="169" customWidth="1"/>
    <col min="13316" max="13316" width="11.140625" style="169" customWidth="1"/>
    <col min="13317" max="13317" width="9.140625" style="169"/>
    <col min="13318" max="13318" width="15.42578125" style="169" customWidth="1"/>
    <col min="13319" max="13319" width="12.42578125" style="169" customWidth="1"/>
    <col min="13320" max="13320" width="11.28515625" style="169" customWidth="1"/>
    <col min="13321" max="13321" width="10.7109375" style="169" customWidth="1"/>
    <col min="13322" max="13322" width="12.5703125" style="169" bestFit="1" customWidth="1"/>
    <col min="13323" max="13323" width="9.28515625" style="169" bestFit="1" customWidth="1"/>
    <col min="13324" max="13324" width="9.140625" style="169"/>
    <col min="13325" max="13325" width="11.7109375" style="169" customWidth="1"/>
    <col min="13326" max="13568" width="9.140625" style="169"/>
    <col min="13569" max="13569" width="40.140625" style="169" customWidth="1"/>
    <col min="13570" max="13570" width="12" style="169" customWidth="1"/>
    <col min="13571" max="13571" width="13.5703125" style="169" customWidth="1"/>
    <col min="13572" max="13572" width="11.140625" style="169" customWidth="1"/>
    <col min="13573" max="13573" width="9.140625" style="169"/>
    <col min="13574" max="13574" width="15.42578125" style="169" customWidth="1"/>
    <col min="13575" max="13575" width="12.42578125" style="169" customWidth="1"/>
    <col min="13576" max="13576" width="11.28515625" style="169" customWidth="1"/>
    <col min="13577" max="13577" width="10.7109375" style="169" customWidth="1"/>
    <col min="13578" max="13578" width="12.5703125" style="169" bestFit="1" customWidth="1"/>
    <col min="13579" max="13579" width="9.28515625" style="169" bestFit="1" customWidth="1"/>
    <col min="13580" max="13580" width="9.140625" style="169"/>
    <col min="13581" max="13581" width="11.7109375" style="169" customWidth="1"/>
    <col min="13582" max="13824" width="9.140625" style="169"/>
    <col min="13825" max="13825" width="40.140625" style="169" customWidth="1"/>
    <col min="13826" max="13826" width="12" style="169" customWidth="1"/>
    <col min="13827" max="13827" width="13.5703125" style="169" customWidth="1"/>
    <col min="13828" max="13828" width="11.140625" style="169" customWidth="1"/>
    <col min="13829" max="13829" width="9.140625" style="169"/>
    <col min="13830" max="13830" width="15.42578125" style="169" customWidth="1"/>
    <col min="13831" max="13831" width="12.42578125" style="169" customWidth="1"/>
    <col min="13832" max="13832" width="11.28515625" style="169" customWidth="1"/>
    <col min="13833" max="13833" width="10.7109375" style="169" customWidth="1"/>
    <col min="13834" max="13834" width="12.5703125" style="169" bestFit="1" customWidth="1"/>
    <col min="13835" max="13835" width="9.28515625" style="169" bestFit="1" customWidth="1"/>
    <col min="13836" max="13836" width="9.140625" style="169"/>
    <col min="13837" max="13837" width="11.7109375" style="169" customWidth="1"/>
    <col min="13838" max="14080" width="9.140625" style="169"/>
    <col min="14081" max="14081" width="40.140625" style="169" customWidth="1"/>
    <col min="14082" max="14082" width="12" style="169" customWidth="1"/>
    <col min="14083" max="14083" width="13.5703125" style="169" customWidth="1"/>
    <col min="14084" max="14084" width="11.140625" style="169" customWidth="1"/>
    <col min="14085" max="14085" width="9.140625" style="169"/>
    <col min="14086" max="14086" width="15.42578125" style="169" customWidth="1"/>
    <col min="14087" max="14087" width="12.42578125" style="169" customWidth="1"/>
    <col min="14088" max="14088" width="11.28515625" style="169" customWidth="1"/>
    <col min="14089" max="14089" width="10.7109375" style="169" customWidth="1"/>
    <col min="14090" max="14090" width="12.5703125" style="169" bestFit="1" customWidth="1"/>
    <col min="14091" max="14091" width="9.28515625" style="169" bestFit="1" customWidth="1"/>
    <col min="14092" max="14092" width="9.140625" style="169"/>
    <col min="14093" max="14093" width="11.7109375" style="169" customWidth="1"/>
    <col min="14094" max="14336" width="9.140625" style="169"/>
    <col min="14337" max="14337" width="40.140625" style="169" customWidth="1"/>
    <col min="14338" max="14338" width="12" style="169" customWidth="1"/>
    <col min="14339" max="14339" width="13.5703125" style="169" customWidth="1"/>
    <col min="14340" max="14340" width="11.140625" style="169" customWidth="1"/>
    <col min="14341" max="14341" width="9.140625" style="169"/>
    <col min="14342" max="14342" width="15.42578125" style="169" customWidth="1"/>
    <col min="14343" max="14343" width="12.42578125" style="169" customWidth="1"/>
    <col min="14344" max="14344" width="11.28515625" style="169" customWidth="1"/>
    <col min="14345" max="14345" width="10.7109375" style="169" customWidth="1"/>
    <col min="14346" max="14346" width="12.5703125" style="169" bestFit="1" customWidth="1"/>
    <col min="14347" max="14347" width="9.28515625" style="169" bestFit="1" customWidth="1"/>
    <col min="14348" max="14348" width="9.140625" style="169"/>
    <col min="14349" max="14349" width="11.7109375" style="169" customWidth="1"/>
    <col min="14350" max="14592" width="9.140625" style="169"/>
    <col min="14593" max="14593" width="40.140625" style="169" customWidth="1"/>
    <col min="14594" max="14594" width="12" style="169" customWidth="1"/>
    <col min="14595" max="14595" width="13.5703125" style="169" customWidth="1"/>
    <col min="14596" max="14596" width="11.140625" style="169" customWidth="1"/>
    <col min="14597" max="14597" width="9.140625" style="169"/>
    <col min="14598" max="14598" width="15.42578125" style="169" customWidth="1"/>
    <col min="14599" max="14599" width="12.42578125" style="169" customWidth="1"/>
    <col min="14600" max="14600" width="11.28515625" style="169" customWidth="1"/>
    <col min="14601" max="14601" width="10.7109375" style="169" customWidth="1"/>
    <col min="14602" max="14602" width="12.5703125" style="169" bestFit="1" customWidth="1"/>
    <col min="14603" max="14603" width="9.28515625" style="169" bestFit="1" customWidth="1"/>
    <col min="14604" max="14604" width="9.140625" style="169"/>
    <col min="14605" max="14605" width="11.7109375" style="169" customWidth="1"/>
    <col min="14606" max="14848" width="9.140625" style="169"/>
    <col min="14849" max="14849" width="40.140625" style="169" customWidth="1"/>
    <col min="14850" max="14850" width="12" style="169" customWidth="1"/>
    <col min="14851" max="14851" width="13.5703125" style="169" customWidth="1"/>
    <col min="14852" max="14852" width="11.140625" style="169" customWidth="1"/>
    <col min="14853" max="14853" width="9.140625" style="169"/>
    <col min="14854" max="14854" width="15.42578125" style="169" customWidth="1"/>
    <col min="14855" max="14855" width="12.42578125" style="169" customWidth="1"/>
    <col min="14856" max="14856" width="11.28515625" style="169" customWidth="1"/>
    <col min="14857" max="14857" width="10.7109375" style="169" customWidth="1"/>
    <col min="14858" max="14858" width="12.5703125" style="169" bestFit="1" customWidth="1"/>
    <col min="14859" max="14859" width="9.28515625" style="169" bestFit="1" customWidth="1"/>
    <col min="14860" max="14860" width="9.140625" style="169"/>
    <col min="14861" max="14861" width="11.7109375" style="169" customWidth="1"/>
    <col min="14862" max="15104" width="9.140625" style="169"/>
    <col min="15105" max="15105" width="40.140625" style="169" customWidth="1"/>
    <col min="15106" max="15106" width="12" style="169" customWidth="1"/>
    <col min="15107" max="15107" width="13.5703125" style="169" customWidth="1"/>
    <col min="15108" max="15108" width="11.140625" style="169" customWidth="1"/>
    <col min="15109" max="15109" width="9.140625" style="169"/>
    <col min="15110" max="15110" width="15.42578125" style="169" customWidth="1"/>
    <col min="15111" max="15111" width="12.42578125" style="169" customWidth="1"/>
    <col min="15112" max="15112" width="11.28515625" style="169" customWidth="1"/>
    <col min="15113" max="15113" width="10.7109375" style="169" customWidth="1"/>
    <col min="15114" max="15114" width="12.5703125" style="169" bestFit="1" customWidth="1"/>
    <col min="15115" max="15115" width="9.28515625" style="169" bestFit="1" customWidth="1"/>
    <col min="15116" max="15116" width="9.140625" style="169"/>
    <col min="15117" max="15117" width="11.7109375" style="169" customWidth="1"/>
    <col min="15118" max="15360" width="9.140625" style="169"/>
    <col min="15361" max="15361" width="40.140625" style="169" customWidth="1"/>
    <col min="15362" max="15362" width="12" style="169" customWidth="1"/>
    <col min="15363" max="15363" width="13.5703125" style="169" customWidth="1"/>
    <col min="15364" max="15364" width="11.140625" style="169" customWidth="1"/>
    <col min="15365" max="15365" width="9.140625" style="169"/>
    <col min="15366" max="15366" width="15.42578125" style="169" customWidth="1"/>
    <col min="15367" max="15367" width="12.42578125" style="169" customWidth="1"/>
    <col min="15368" max="15368" width="11.28515625" style="169" customWidth="1"/>
    <col min="15369" max="15369" width="10.7109375" style="169" customWidth="1"/>
    <col min="15370" max="15370" width="12.5703125" style="169" bestFit="1" customWidth="1"/>
    <col min="15371" max="15371" width="9.28515625" style="169" bestFit="1" customWidth="1"/>
    <col min="15372" max="15372" width="9.140625" style="169"/>
    <col min="15373" max="15373" width="11.7109375" style="169" customWidth="1"/>
    <col min="15374" max="15616" width="9.140625" style="169"/>
    <col min="15617" max="15617" width="40.140625" style="169" customWidth="1"/>
    <col min="15618" max="15618" width="12" style="169" customWidth="1"/>
    <col min="15619" max="15619" width="13.5703125" style="169" customWidth="1"/>
    <col min="15620" max="15620" width="11.140625" style="169" customWidth="1"/>
    <col min="15621" max="15621" width="9.140625" style="169"/>
    <col min="15622" max="15622" width="15.42578125" style="169" customWidth="1"/>
    <col min="15623" max="15623" width="12.42578125" style="169" customWidth="1"/>
    <col min="15624" max="15624" width="11.28515625" style="169" customWidth="1"/>
    <col min="15625" max="15625" width="10.7109375" style="169" customWidth="1"/>
    <col min="15626" max="15626" width="12.5703125" style="169" bestFit="1" customWidth="1"/>
    <col min="15627" max="15627" width="9.28515625" style="169" bestFit="1" customWidth="1"/>
    <col min="15628" max="15628" width="9.140625" style="169"/>
    <col min="15629" max="15629" width="11.7109375" style="169" customWidth="1"/>
    <col min="15630" max="15872" width="9.140625" style="169"/>
    <col min="15873" max="15873" width="40.140625" style="169" customWidth="1"/>
    <col min="15874" max="15874" width="12" style="169" customWidth="1"/>
    <col min="15875" max="15875" width="13.5703125" style="169" customWidth="1"/>
    <col min="15876" max="15876" width="11.140625" style="169" customWidth="1"/>
    <col min="15877" max="15877" width="9.140625" style="169"/>
    <col min="15878" max="15878" width="15.42578125" style="169" customWidth="1"/>
    <col min="15879" max="15879" width="12.42578125" style="169" customWidth="1"/>
    <col min="15880" max="15880" width="11.28515625" style="169" customWidth="1"/>
    <col min="15881" max="15881" width="10.7109375" style="169" customWidth="1"/>
    <col min="15882" max="15882" width="12.5703125" style="169" bestFit="1" customWidth="1"/>
    <col min="15883" max="15883" width="9.28515625" style="169" bestFit="1" customWidth="1"/>
    <col min="15884" max="15884" width="9.140625" style="169"/>
    <col min="15885" max="15885" width="11.7109375" style="169" customWidth="1"/>
    <col min="15886" max="16128" width="9.140625" style="169"/>
    <col min="16129" max="16129" width="40.140625" style="169" customWidth="1"/>
    <col min="16130" max="16130" width="12" style="169" customWidth="1"/>
    <col min="16131" max="16131" width="13.5703125" style="169" customWidth="1"/>
    <col min="16132" max="16132" width="11.140625" style="169" customWidth="1"/>
    <col min="16133" max="16133" width="9.140625" style="169"/>
    <col min="16134" max="16134" width="15.42578125" style="169" customWidth="1"/>
    <col min="16135" max="16135" width="12.42578125" style="169" customWidth="1"/>
    <col min="16136" max="16136" width="11.28515625" style="169" customWidth="1"/>
    <col min="16137" max="16137" width="10.7109375" style="169" customWidth="1"/>
    <col min="16138" max="16138" width="12.5703125" style="169" bestFit="1" customWidth="1"/>
    <col min="16139" max="16139" width="9.28515625" style="169" bestFit="1" customWidth="1"/>
    <col min="16140" max="16140" width="9.140625" style="169"/>
    <col min="16141" max="16141" width="11.7109375" style="169" customWidth="1"/>
    <col min="16142" max="16384" width="9.140625" style="169"/>
  </cols>
  <sheetData>
    <row r="1" spans="1:14" s="168" customFormat="1" ht="18.75" customHeight="1">
      <c r="A1" s="463" t="s">
        <v>31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</row>
    <row r="2" spans="1:14" ht="18.75" customHeight="1">
      <c r="A2" s="463" t="s">
        <v>269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</row>
    <row r="3" spans="1:14" ht="18" customHeight="1">
      <c r="A3" s="220" t="s">
        <v>585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18" customHeight="1">
      <c r="A4" s="169" t="s">
        <v>272</v>
      </c>
      <c r="B4" s="464" t="s">
        <v>489</v>
      </c>
      <c r="C4" s="464"/>
      <c r="D4" s="464"/>
      <c r="E4" s="464"/>
      <c r="F4" s="465" t="s">
        <v>267</v>
      </c>
      <c r="G4" s="466"/>
      <c r="H4" s="464">
        <v>12</v>
      </c>
      <c r="I4" s="464"/>
      <c r="J4" s="169" t="s">
        <v>32</v>
      </c>
      <c r="K4" s="171">
        <v>5324</v>
      </c>
      <c r="L4" s="465" t="s">
        <v>33</v>
      </c>
      <c r="M4" s="467"/>
      <c r="N4" s="171">
        <v>800</v>
      </c>
    </row>
    <row r="5" spans="1:14" ht="18" customHeight="1"/>
    <row r="6" spans="1:14" ht="18" customHeight="1">
      <c r="A6" s="169" t="s">
        <v>347</v>
      </c>
      <c r="B6" s="464" t="s">
        <v>519</v>
      </c>
      <c r="C6" s="464"/>
      <c r="D6" s="464"/>
      <c r="E6" s="464"/>
      <c r="F6" s="465" t="s">
        <v>520</v>
      </c>
      <c r="G6" s="466"/>
      <c r="H6" s="464" t="s">
        <v>70</v>
      </c>
      <c r="I6" s="464"/>
      <c r="J6" s="464"/>
    </row>
    <row r="7" spans="1:14" ht="18" customHeight="1">
      <c r="A7" s="172"/>
    </row>
    <row r="8" spans="1:14" ht="18" customHeight="1">
      <c r="A8" s="468" t="s">
        <v>521</v>
      </c>
      <c r="B8" s="469" t="s">
        <v>522</v>
      </c>
      <c r="C8" s="470"/>
      <c r="D8" s="470"/>
      <c r="E8" s="471"/>
      <c r="F8" s="468"/>
      <c r="G8" s="468"/>
      <c r="H8" s="476" t="s">
        <v>523</v>
      </c>
      <c r="I8" s="477"/>
      <c r="J8" s="477"/>
      <c r="K8" s="477"/>
    </row>
    <row r="9" spans="1:14" ht="18" customHeight="1">
      <c r="A9" s="468"/>
      <c r="B9" s="465"/>
      <c r="C9" s="472"/>
      <c r="D9" s="472"/>
      <c r="E9" s="467"/>
      <c r="F9" s="468"/>
      <c r="G9" s="468"/>
      <c r="H9" s="477"/>
      <c r="I9" s="477"/>
      <c r="J9" s="477"/>
      <c r="K9" s="477"/>
    </row>
    <row r="10" spans="1:14" ht="41.25" customHeight="1">
      <c r="A10" s="173"/>
      <c r="B10" s="473"/>
      <c r="C10" s="474"/>
      <c r="D10" s="474"/>
      <c r="E10" s="475"/>
      <c r="F10" s="468"/>
      <c r="G10" s="468"/>
      <c r="H10" s="477"/>
      <c r="I10" s="477"/>
      <c r="J10" s="477"/>
      <c r="K10" s="477"/>
    </row>
    <row r="11" spans="1:14" ht="18" customHeight="1"/>
    <row r="12" spans="1:14" ht="18" customHeight="1"/>
    <row r="13" spans="1:14" ht="18" customHeight="1">
      <c r="A13" s="172" t="s">
        <v>34</v>
      </c>
      <c r="B13" s="171">
        <v>12</v>
      </c>
      <c r="C13" s="465" t="s">
        <v>35</v>
      </c>
      <c r="D13" s="466"/>
      <c r="E13" s="467"/>
      <c r="F13" s="171">
        <f>+'[1]Maa Thakurani'!F16+[2]Subhasree!F16+[2]Nagabali!F16+'[2]Maa Gayatri'!F16+'[2]Maa Adimata'!F16+[2]Tribeni!F16+[2]Dharitri!F16+[2]Khandual!F16+[2]Laxmi!F16+[2]Mataji!F16+[2]Kanbura!F16+[2]Sikilimali!F16</f>
        <v>38</v>
      </c>
      <c r="G13" s="169" t="s">
        <v>36</v>
      </c>
      <c r="H13" s="171">
        <f>+'[1]Maa Thakurani'!H16+[2]Subhasree!H16+[2]Nagabali!H16+'[2]Maa Gayatri'!H16+'[2]Maa Adimata'!H16+[2]Tribeni!H16+[2]Dharitri!H16+[2]Khandual!H16+[2]Laxmi!H16+[2]Mataji!H16+[2]Kanbura!H16+[2]Sikilimali!H16</f>
        <v>121</v>
      </c>
      <c r="I13" s="169" t="s">
        <v>37</v>
      </c>
      <c r="J13" s="171">
        <f>+'[1]Maa Thakurani'!J16+[2]Subhasree!J16+[2]Nagabali!J16+'[2]Maa Gayatri'!J16+'[2]Maa Adimata'!J16+[2]Tribeni!J16+[2]Dharitri!J16+[2]Khandual!J16+[2]Laxmi!J16+[2]Mataji!J16+[2]Kanbura!J16+[2]Sikilimali!J16</f>
        <v>14</v>
      </c>
      <c r="K13" s="169" t="s">
        <v>38</v>
      </c>
      <c r="L13" s="171">
        <f>+'[1]Maa Thakurani'!L16+[2]Subhasree!L16+[2]Nagabali!L16+'[2]Maa Gayatri'!L16+'[2]Maa Adimata'!L16+[2]Tribeni!L16+[2]Dharitri!L16+[2]Khandual!L16+[2]Laxmi!L16+[2]Mataji!L16+[2]Kanbura!L16+[2]Sikilimali!L16</f>
        <v>205</v>
      </c>
    </row>
    <row r="14" spans="1:14" ht="18" customHeight="1"/>
    <row r="15" spans="1:14" ht="18" customHeight="1">
      <c r="A15" s="172" t="s">
        <v>39</v>
      </c>
      <c r="B15" s="169" t="s">
        <v>40</v>
      </c>
      <c r="C15" s="171">
        <f>+'[1]Maa Thakurani'!C18+[2]Subhasree!C18+[2]Nagabali!C18+'[2]Maa Gayatri'!C18+'[2]Maa Adimata'!C18+[2]Tribeni!C18+[2]Dharitri!C18+[2]Khandual!C18+[2]Laxmi!C18+[2]Mataji!C18+[2]Kanbura!C18+[2]Sikilimali!C18</f>
        <v>1095</v>
      </c>
      <c r="D15" s="169" t="s">
        <v>41</v>
      </c>
      <c r="E15" s="171">
        <f>+'[1]Maa Thakurani'!E18+[2]Subhasree!E18+[2]Nagabali!E18+'[2]Maa Gayatri'!E18+'[2]Maa Adimata'!E18+[2]Tribeni!E18+[2]Dharitri!E18+[2]Khandual!E18+[2]Laxmi!E18+[2]Mataji!E18+[2]Kanbura!E18+[2]Sikilimali!E18</f>
        <v>252</v>
      </c>
      <c r="F15" s="172" t="s">
        <v>42</v>
      </c>
      <c r="G15" s="171">
        <f>+'[1]Maa Thakurani'!G18+[2]Subhasree!G18+[2]Nagabali!G18+'[2]Maa Gayatri'!G18+'[2]Maa Adimata'!G18+[2]Tribeni!G18+[2]Dharitri!G18+[2]Khandual!G18+[2]Laxmi!G18+[2]Mataji!G18+[2]Kanbura!G18+[2]Sikilimali!G18</f>
        <v>133</v>
      </c>
      <c r="H15" s="169" t="s">
        <v>43</v>
      </c>
      <c r="I15" s="171">
        <f>+'[1]Maa Thakurani'!I18+[2]Subhasree!I18+[2]Nagabali!I18+'[2]Maa Gayatri'!I18+'[2]Maa Adimata'!I18+[2]Tribeni!I18+[2]Dharitri!I18+[2]Khandual!I18+[2]Laxmi!I18+[2]Mataji!I18+[2]Kanbura!I18+[2]Sikilimali!I18</f>
        <v>132</v>
      </c>
      <c r="J15" s="465" t="s">
        <v>44</v>
      </c>
      <c r="K15" s="467"/>
      <c r="L15" s="171">
        <f>+'[1]Maa Thakurani'!L18+[2]Subhasree!L18+[2]Nagabali!L18+'[2]Maa Gayatri'!L18+'[2]Maa Adimata'!L18+[2]Tribeni!L18+[2]Dharitri!L18+[2]Khandual!L18+[2]Laxmi!L18+[2]Mataji!L18+[2]Kanbura!L18+[2]Sikilimali!L18</f>
        <v>0</v>
      </c>
    </row>
    <row r="16" spans="1:14" ht="18" customHeight="1">
      <c r="A16" s="172" t="s">
        <v>45</v>
      </c>
      <c r="B16" s="169" t="s">
        <v>46</v>
      </c>
      <c r="C16" s="171">
        <f>+'[1]Maa Thakurani'!C19+[2]Subhasree!C19+[2]Nagabali!C19+'[2]Maa Gayatri'!C19+'[2]Maa Adimata'!C19+[2]Tribeni!C19+[2]Dharitri!C19+[2]Khandual!C19+[2]Laxmi!C19+[2]Mataji!C19+[2]Kanbura!C19+[2]Sikilimali!C19</f>
        <v>2681</v>
      </c>
      <c r="D16" s="169" t="s">
        <v>47</v>
      </c>
      <c r="E16" s="171">
        <f>+'[1]Maa Thakurani'!E19+[2]Subhasree!E19+[2]Nagabali!E19+'[2]Maa Gayatri'!E19+'[2]Maa Adimata'!E19+[2]Tribeni!E19+[2]Dharitri!E19+[2]Khandual!E19+[2]Laxmi!E19+[2]Mataji!E19+[2]Kanbura!E19+[2]Sikilimali!E19</f>
        <v>770</v>
      </c>
      <c r="F16" s="172" t="s">
        <v>48</v>
      </c>
      <c r="G16" s="171">
        <f>+'[1]Maa Thakurani'!G19+[2]Subhasree!G19+[2]Nagabali!G19+'[2]Maa Gayatri'!G19+'[2]Maa Adimata'!G19+[2]Tribeni!G19+[2]Dharitri!G19+[2]Khandual!G19+[2]Laxmi!G19+[2]Mataji!G19+[2]Kanbura!G19+[2]Sikilimali!G19</f>
        <v>352</v>
      </c>
    </row>
    <row r="17" spans="1:14" ht="18" customHeight="1">
      <c r="B17" s="169" t="s">
        <v>49</v>
      </c>
      <c r="C17" s="171">
        <f>+'[1]Maa Thakurani'!C20+[2]Subhasree!C20+[2]Nagabali!C20+'[2]Maa Gayatri'!C20+'[2]Maa Adimata'!C20+[2]Tribeni!C20+[2]Dharitri!C20+[2]Khandual!C20+[2]Laxmi!C20+[2]Mataji!C20+[2]Kanbura!C20+[2]Sikilimali!C20</f>
        <v>2294</v>
      </c>
      <c r="D17" s="169" t="s">
        <v>50</v>
      </c>
      <c r="E17" s="171">
        <f>+'[1]Maa Thakurani'!E20+[2]Subhasree!E20+[2]Nagabali!E20+'[2]Maa Gayatri'!E20+'[2]Maa Adimata'!E20+[2]Tribeni!E20+[2]Dharitri!E20+[2]Khandual!E20+[2]Laxmi!E20+[2]Mataji!E20+[2]Kanbura!E20+[2]Sikilimali!E20</f>
        <v>712</v>
      </c>
      <c r="F17" s="169" t="s">
        <v>51</v>
      </c>
      <c r="G17" s="171">
        <f>+'[1]Maa Thakurani'!G20+[2]Subhasree!G20+[2]Nagabali!G20+'[2]Maa Gayatri'!G20+'[2]Maa Adimata'!G20+[2]Tribeni!G20+[2]Dharitri!G20+[2]Khandual!G20+[2]Laxmi!G20+[2]Mataji!G20+[2]Kanbura!G20+[2]Sikilimali!G20</f>
        <v>320</v>
      </c>
    </row>
    <row r="18" spans="1:14" ht="18" customHeight="1"/>
    <row r="19" spans="1:14" ht="18" customHeight="1">
      <c r="A19" s="174" t="s">
        <v>52</v>
      </c>
    </row>
    <row r="20" spans="1:14" ht="18" customHeight="1"/>
    <row r="21" spans="1:14" ht="18" customHeight="1">
      <c r="A21" s="478" t="s">
        <v>53</v>
      </c>
      <c r="B21" s="478" t="s">
        <v>54</v>
      </c>
      <c r="C21" s="478" t="s">
        <v>55</v>
      </c>
      <c r="D21" s="478" t="s">
        <v>524</v>
      </c>
      <c r="E21" s="478" t="s">
        <v>525</v>
      </c>
      <c r="F21" s="480" t="s">
        <v>56</v>
      </c>
      <c r="G21" s="481"/>
      <c r="H21" s="481"/>
      <c r="I21" s="481"/>
      <c r="J21" s="481"/>
      <c r="K21" s="481"/>
      <c r="L21" s="481"/>
      <c r="M21" s="481"/>
      <c r="N21" s="482"/>
    </row>
    <row r="22" spans="1:14" ht="18" customHeight="1">
      <c r="A22" s="479"/>
      <c r="B22" s="479"/>
      <c r="C22" s="479"/>
      <c r="D22" s="479"/>
      <c r="E22" s="479"/>
      <c r="F22" s="175" t="s">
        <v>57</v>
      </c>
      <c r="G22" s="175" t="s">
        <v>58</v>
      </c>
      <c r="H22" s="175" t="s">
        <v>59</v>
      </c>
      <c r="I22" s="175" t="s">
        <v>60</v>
      </c>
      <c r="J22" s="175" t="s">
        <v>61</v>
      </c>
      <c r="K22" s="175" t="s">
        <v>62</v>
      </c>
      <c r="L22" s="175" t="s">
        <v>63</v>
      </c>
      <c r="M22" s="175" t="s">
        <v>64</v>
      </c>
      <c r="N22" s="175" t="s">
        <v>65</v>
      </c>
    </row>
    <row r="23" spans="1:14" ht="18" customHeight="1">
      <c r="A23" s="176" t="s">
        <v>370</v>
      </c>
      <c r="B23" s="171">
        <v>500</v>
      </c>
      <c r="C23" s="171" t="s">
        <v>66</v>
      </c>
      <c r="D23" s="171">
        <f>+K4*B23/100000</f>
        <v>26.62</v>
      </c>
      <c r="E23" s="171">
        <v>18</v>
      </c>
      <c r="F23" s="171"/>
      <c r="G23" s="171">
        <v>3.0758899999999998</v>
      </c>
      <c r="H23" s="171">
        <v>5.79474</v>
      </c>
      <c r="I23" s="171">
        <v>3.6388099999999999</v>
      </c>
      <c r="J23" s="171">
        <v>4.2838900000000004</v>
      </c>
      <c r="K23" s="171">
        <v>3.43533</v>
      </c>
      <c r="L23" s="171">
        <v>2.89839</v>
      </c>
      <c r="M23" s="171">
        <f>+F23+G23+H23+I23+J23+K23</f>
        <v>20.228660000000001</v>
      </c>
      <c r="N23" s="171">
        <f>+M23/E23*100</f>
        <v>112.38144444444444</v>
      </c>
    </row>
    <row r="24" spans="1:14" ht="18" customHeight="1">
      <c r="A24" s="176" t="s">
        <v>338</v>
      </c>
      <c r="B24" s="171">
        <v>360</v>
      </c>
      <c r="C24" s="171" t="s">
        <v>66</v>
      </c>
      <c r="D24" s="171">
        <f>+K4*B24/100000</f>
        <v>19.166399999999999</v>
      </c>
      <c r="E24" s="171">
        <v>10</v>
      </c>
      <c r="F24" s="171"/>
      <c r="G24" s="171"/>
      <c r="H24" s="171">
        <v>1.81193</v>
      </c>
      <c r="I24" s="171"/>
      <c r="J24" s="171">
        <v>0.36209999999999998</v>
      </c>
      <c r="K24" s="171">
        <v>2.1106099999999999</v>
      </c>
      <c r="L24" s="171">
        <v>0.14124999999999999</v>
      </c>
      <c r="M24" s="171">
        <f t="shared" ref="M24:M30" si="0">+F24+G24+H24+I24+J24+K24</f>
        <v>4.2846399999999996</v>
      </c>
      <c r="N24" s="171">
        <f t="shared" ref="N24:N31" si="1">+M24/E24*100</f>
        <v>42.846399999999996</v>
      </c>
    </row>
    <row r="25" spans="1:14" ht="18" customHeight="1">
      <c r="A25" s="176" t="s">
        <v>321</v>
      </c>
      <c r="B25" s="171">
        <v>8.4</v>
      </c>
      <c r="C25" s="171" t="s">
        <v>363</v>
      </c>
      <c r="D25" s="171">
        <f>+B25*7</f>
        <v>58.800000000000004</v>
      </c>
      <c r="E25" s="171">
        <f>45*6*0.05</f>
        <v>13.5</v>
      </c>
      <c r="F25" s="171"/>
      <c r="G25" s="171">
        <v>1.8698999999999999</v>
      </c>
      <c r="H25" s="171">
        <v>1.7602800000000001</v>
      </c>
      <c r="I25" s="171">
        <v>2.6020400000000001</v>
      </c>
      <c r="J25" s="171">
        <v>2.35</v>
      </c>
      <c r="K25" s="171">
        <v>2.9216700000000002</v>
      </c>
      <c r="L25" s="171">
        <v>2.5617200000000002</v>
      </c>
      <c r="M25" s="171">
        <f t="shared" si="0"/>
        <v>11.50389</v>
      </c>
      <c r="N25" s="171">
        <f t="shared" si="1"/>
        <v>85.213999999999999</v>
      </c>
    </row>
    <row r="26" spans="1:14" ht="18" customHeight="1">
      <c r="A26" s="176" t="s">
        <v>246</v>
      </c>
      <c r="B26" s="171">
        <v>0.84</v>
      </c>
      <c r="C26" s="171" t="s">
        <v>363</v>
      </c>
      <c r="D26" s="171">
        <f>+B26*7</f>
        <v>5.88</v>
      </c>
      <c r="E26" s="171">
        <f>45*6*0.02</f>
        <v>5.4</v>
      </c>
      <c r="F26" s="171"/>
      <c r="G26" s="171">
        <v>0.26178000000000001</v>
      </c>
      <c r="H26" s="171">
        <v>0.26782</v>
      </c>
      <c r="I26" s="171">
        <v>1.0408200000000001</v>
      </c>
      <c r="J26" s="171">
        <v>0.92500000000000004</v>
      </c>
      <c r="K26" s="171">
        <v>1.0861700000000001</v>
      </c>
      <c r="L26" s="171">
        <v>0.82604999999999995</v>
      </c>
      <c r="M26" s="171">
        <f t="shared" si="0"/>
        <v>3.5815900000000003</v>
      </c>
      <c r="N26" s="171">
        <f t="shared" si="1"/>
        <v>66.325740740740741</v>
      </c>
    </row>
    <row r="27" spans="1:14" ht="18" customHeight="1">
      <c r="A27" s="176" t="s">
        <v>498</v>
      </c>
      <c r="B27" s="171">
        <v>3.6</v>
      </c>
      <c r="C27" s="171" t="s">
        <v>363</v>
      </c>
      <c r="D27" s="171">
        <f>+B27*7</f>
        <v>25.2</v>
      </c>
      <c r="E27" s="171">
        <f>12*10*0.02*2*2</f>
        <v>9.6</v>
      </c>
      <c r="F27" s="171"/>
      <c r="G27" s="171">
        <v>0</v>
      </c>
      <c r="H27" s="171">
        <v>0</v>
      </c>
      <c r="I27" s="171">
        <v>2.46</v>
      </c>
      <c r="J27" s="171">
        <v>2.2599999999999998</v>
      </c>
      <c r="K27" s="171">
        <v>2.2599999999999998</v>
      </c>
      <c r="L27" s="171">
        <v>2.2999999999999998</v>
      </c>
      <c r="M27" s="171">
        <f t="shared" si="0"/>
        <v>6.9799999999999995</v>
      </c>
      <c r="N27" s="171">
        <f t="shared" si="1"/>
        <v>72.708333333333329</v>
      </c>
    </row>
    <row r="28" spans="1:14" ht="18" customHeight="1">
      <c r="A28" s="176" t="s">
        <v>305</v>
      </c>
      <c r="B28" s="171">
        <v>0.24</v>
      </c>
      <c r="C28" s="171" t="s">
        <v>363</v>
      </c>
      <c r="D28" s="171">
        <f>+B28*7</f>
        <v>1.68</v>
      </c>
      <c r="E28" s="171">
        <f>0.02*52</f>
        <v>1.04</v>
      </c>
      <c r="F28" s="171"/>
      <c r="G28" s="171"/>
      <c r="H28" s="171">
        <v>7.4230000000000004E-2</v>
      </c>
      <c r="I28" s="171">
        <v>0.22</v>
      </c>
      <c r="J28" s="171">
        <v>0.24</v>
      </c>
      <c r="K28" s="171">
        <v>0.16</v>
      </c>
      <c r="L28" s="171">
        <v>0.24</v>
      </c>
      <c r="M28" s="171">
        <f t="shared" si="0"/>
        <v>0.69423000000000001</v>
      </c>
      <c r="N28" s="171">
        <f t="shared" si="1"/>
        <v>66.752884615384616</v>
      </c>
    </row>
    <row r="29" spans="1:14" ht="18" customHeight="1">
      <c r="A29" s="176" t="s">
        <v>306</v>
      </c>
      <c r="B29" s="171">
        <v>0.36</v>
      </c>
      <c r="C29" s="171" t="s">
        <v>363</v>
      </c>
      <c r="D29" s="171">
        <f>+B29*7</f>
        <v>2.52</v>
      </c>
      <c r="E29" s="171">
        <f>0.03*53</f>
        <v>1.5899999999999999</v>
      </c>
      <c r="F29" s="171"/>
      <c r="G29" s="171">
        <v>9.9430000000000004E-2</v>
      </c>
      <c r="H29" s="171">
        <v>0.29710999999999999</v>
      </c>
      <c r="I29" s="171">
        <v>0.30421999999999999</v>
      </c>
      <c r="J29" s="171">
        <v>0.14030000000000001</v>
      </c>
      <c r="K29" s="171">
        <v>0.35842000000000002</v>
      </c>
      <c r="L29" s="171">
        <v>0.35819000000000001</v>
      </c>
      <c r="M29" s="171">
        <f t="shared" si="0"/>
        <v>1.1994800000000001</v>
      </c>
      <c r="N29" s="171">
        <f t="shared" si="1"/>
        <v>75.438993710691832</v>
      </c>
    </row>
    <row r="30" spans="1:14" ht="18" customHeight="1">
      <c r="A30" s="176" t="s">
        <v>67</v>
      </c>
      <c r="B30" s="171">
        <v>0.2</v>
      </c>
      <c r="C30" s="171" t="s">
        <v>68</v>
      </c>
      <c r="D30" s="171">
        <v>0.2</v>
      </c>
      <c r="E30" s="171">
        <f>0.2</f>
        <v>0.2</v>
      </c>
      <c r="F30" s="171"/>
      <c r="G30" s="171"/>
      <c r="H30" s="171"/>
      <c r="I30" s="171"/>
      <c r="J30" s="171"/>
      <c r="K30" s="171"/>
      <c r="L30" s="171"/>
      <c r="M30" s="171">
        <f t="shared" si="0"/>
        <v>0</v>
      </c>
      <c r="N30" s="171">
        <f t="shared" si="1"/>
        <v>0</v>
      </c>
    </row>
    <row r="31" spans="1:14" ht="18" customHeight="1">
      <c r="A31" s="177" t="s">
        <v>69</v>
      </c>
      <c r="B31" s="171"/>
      <c r="C31" s="171"/>
      <c r="D31" s="171">
        <f t="shared" ref="D31:M31" si="2">SUM(D23:D30)</f>
        <v>140.06639999999999</v>
      </c>
      <c r="E31" s="171">
        <f t="shared" si="2"/>
        <v>59.33</v>
      </c>
      <c r="F31" s="171">
        <f t="shared" si="2"/>
        <v>0</v>
      </c>
      <c r="G31" s="171">
        <f t="shared" si="2"/>
        <v>5.3069999999999995</v>
      </c>
      <c r="H31" s="171">
        <f t="shared" si="2"/>
        <v>10.006110000000001</v>
      </c>
      <c r="I31" s="171">
        <v>10.56129</v>
      </c>
      <c r="J31" s="171">
        <f t="shared" si="2"/>
        <v>10.561290000000001</v>
      </c>
      <c r="K31" s="171">
        <f t="shared" si="2"/>
        <v>12.3322</v>
      </c>
      <c r="L31" s="171">
        <f t="shared" si="2"/>
        <v>9.3255999999999997</v>
      </c>
      <c r="M31" s="171">
        <f t="shared" si="2"/>
        <v>48.472489999999993</v>
      </c>
      <c r="N31" s="171">
        <f t="shared" si="1"/>
        <v>81.699797741446147</v>
      </c>
    </row>
  </sheetData>
  <mergeCells count="21">
    <mergeCell ref="C13:E13"/>
    <mergeCell ref="J15:K15"/>
    <mergeCell ref="A21:A22"/>
    <mergeCell ref="B21:B22"/>
    <mergeCell ref="C21:C22"/>
    <mergeCell ref="D21:D22"/>
    <mergeCell ref="E21:E22"/>
    <mergeCell ref="F21:N21"/>
    <mergeCell ref="B6:E6"/>
    <mergeCell ref="F6:G6"/>
    <mergeCell ref="H6:J6"/>
    <mergeCell ref="A8:A9"/>
    <mergeCell ref="B8:E10"/>
    <mergeCell ref="F8:G10"/>
    <mergeCell ref="H8:K10"/>
    <mergeCell ref="A1:N1"/>
    <mergeCell ref="A2:N2"/>
    <mergeCell ref="B4:E4"/>
    <mergeCell ref="F4:G4"/>
    <mergeCell ref="H4:I4"/>
    <mergeCell ref="L4:M4"/>
  </mergeCells>
  <hyperlinks>
    <hyperlink ref="A3" location="'Fact Sheet of VDC'!A1" display="&lt;&lt;Back"/>
  </hyperlinks>
  <printOptions horizontalCentered="1" verticalCentered="1"/>
  <pageMargins left="0.11811023622047245" right="0.1181102362204724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38"/>
  <sheetViews>
    <sheetView workbookViewId="0">
      <selection activeCell="A2" sqref="A2"/>
    </sheetView>
  </sheetViews>
  <sheetFormatPr defaultRowHeight="12.75"/>
  <cols>
    <col min="1" max="1" width="34.42578125" style="282" customWidth="1"/>
    <col min="2" max="2" width="8.7109375" style="282" customWidth="1"/>
    <col min="3" max="3" width="12.28515625" style="282" customWidth="1"/>
    <col min="4" max="14" width="10.7109375" style="282" customWidth="1"/>
    <col min="15" max="16384" width="9.140625" style="282"/>
  </cols>
  <sheetData>
    <row r="1" spans="1:14" ht="38.25" customHeight="1">
      <c r="A1" s="759" t="s">
        <v>616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</row>
    <row r="2" spans="1:14" ht="15">
      <c r="A2" s="462" t="s">
        <v>585</v>
      </c>
    </row>
    <row r="3" spans="1:14" ht="20.25" customHeight="1">
      <c r="A3" s="282" t="s">
        <v>309</v>
      </c>
      <c r="B3" s="755" t="s">
        <v>28</v>
      </c>
      <c r="C3" s="755"/>
      <c r="D3" s="755"/>
      <c r="E3" s="760" t="s">
        <v>548</v>
      </c>
      <c r="F3" s="760"/>
      <c r="G3" s="761" t="s">
        <v>617</v>
      </c>
      <c r="H3" s="761"/>
      <c r="I3" s="762" t="s">
        <v>4</v>
      </c>
      <c r="J3" s="762"/>
      <c r="K3" s="261">
        <v>4969.3819999999996</v>
      </c>
      <c r="L3" s="760" t="s">
        <v>86</v>
      </c>
      <c r="M3" s="760"/>
      <c r="N3" s="283">
        <v>701.5</v>
      </c>
    </row>
    <row r="4" spans="1:14" ht="20.25" customHeight="1"/>
    <row r="5" spans="1:14" ht="20.25" customHeight="1">
      <c r="A5" s="282" t="s">
        <v>618</v>
      </c>
      <c r="B5" s="755" t="s">
        <v>619</v>
      </c>
      <c r="C5" s="755"/>
      <c r="D5" s="755"/>
      <c r="E5" s="763" t="s">
        <v>280</v>
      </c>
      <c r="F5" s="764"/>
      <c r="G5" s="755" t="s">
        <v>620</v>
      </c>
      <c r="H5" s="755"/>
      <c r="I5" s="755"/>
      <c r="J5" s="755"/>
    </row>
    <row r="6" spans="1:14" ht="20.25" customHeight="1"/>
    <row r="7" spans="1:14" ht="20.25" customHeight="1">
      <c r="A7" s="765" t="s">
        <v>621</v>
      </c>
      <c r="B7" s="766" t="s">
        <v>622</v>
      </c>
      <c r="C7" s="754"/>
      <c r="D7" s="754"/>
      <c r="E7" s="754"/>
      <c r="F7" s="284"/>
      <c r="G7" s="766" t="s">
        <v>623</v>
      </c>
      <c r="H7" s="754"/>
      <c r="I7" s="754"/>
      <c r="J7" s="754"/>
      <c r="K7" s="285"/>
    </row>
    <row r="8" spans="1:14" ht="20.25" customHeight="1">
      <c r="A8" s="765"/>
      <c r="B8" s="754"/>
      <c r="C8" s="754"/>
      <c r="D8" s="754"/>
      <c r="E8" s="754"/>
      <c r="F8" s="284"/>
      <c r="G8" s="754"/>
      <c r="H8" s="754"/>
      <c r="I8" s="754"/>
      <c r="J8" s="754"/>
      <c r="K8" s="285"/>
    </row>
    <row r="9" spans="1:14" ht="20.25" customHeight="1">
      <c r="A9" s="286"/>
      <c r="B9" s="754"/>
      <c r="C9" s="754"/>
      <c r="D9" s="754"/>
      <c r="E9" s="754"/>
      <c r="F9" s="287"/>
      <c r="G9" s="754"/>
      <c r="H9" s="754"/>
      <c r="I9" s="754"/>
      <c r="J9" s="754"/>
      <c r="K9" s="288"/>
    </row>
    <row r="10" spans="1:14" ht="20.25" customHeight="1"/>
    <row r="11" spans="1:14" ht="20.25" customHeight="1"/>
    <row r="12" spans="1:14" ht="20.25" customHeight="1">
      <c r="A12" s="282" t="s">
        <v>159</v>
      </c>
      <c r="B12" s="261">
        <v>48</v>
      </c>
      <c r="C12" s="767" t="s">
        <v>612</v>
      </c>
      <c r="D12" s="768"/>
      <c r="E12" s="769"/>
      <c r="F12" s="261">
        <v>42</v>
      </c>
      <c r="G12" s="282" t="s">
        <v>556</v>
      </c>
      <c r="H12" s="261">
        <v>102</v>
      </c>
      <c r="I12" s="282" t="s">
        <v>160</v>
      </c>
      <c r="J12" s="261">
        <v>13</v>
      </c>
      <c r="K12" s="282" t="s">
        <v>161</v>
      </c>
      <c r="L12" s="261">
        <v>57</v>
      </c>
    </row>
    <row r="13" spans="1:14" ht="20.25" customHeight="1"/>
    <row r="14" spans="1:14" ht="20.25" customHeight="1">
      <c r="A14" s="282" t="s">
        <v>96</v>
      </c>
      <c r="B14" s="282" t="s">
        <v>40</v>
      </c>
      <c r="C14" s="261">
        <v>768</v>
      </c>
      <c r="D14" s="282" t="s">
        <v>41</v>
      </c>
      <c r="E14" s="261">
        <v>287</v>
      </c>
      <c r="F14" s="282" t="s">
        <v>42</v>
      </c>
      <c r="G14" s="261">
        <v>178</v>
      </c>
      <c r="H14" s="282" t="s">
        <v>64</v>
      </c>
      <c r="I14" s="261">
        <v>1233</v>
      </c>
      <c r="J14" s="282" t="s">
        <v>43</v>
      </c>
      <c r="K14" s="261">
        <v>436</v>
      </c>
      <c r="L14" s="767" t="s">
        <v>119</v>
      </c>
      <c r="M14" s="769"/>
      <c r="N14" s="261">
        <v>166</v>
      </c>
    </row>
    <row r="15" spans="1:14" ht="20.25" customHeight="1">
      <c r="A15" s="282" t="s">
        <v>45</v>
      </c>
      <c r="B15" s="282" t="s">
        <v>46</v>
      </c>
      <c r="C15" s="261">
        <v>1423</v>
      </c>
      <c r="D15" s="282" t="s">
        <v>47</v>
      </c>
      <c r="E15" s="261">
        <v>577</v>
      </c>
      <c r="F15" s="282" t="s">
        <v>48</v>
      </c>
      <c r="G15" s="261">
        <v>334</v>
      </c>
      <c r="H15" s="282" t="s">
        <v>77</v>
      </c>
      <c r="I15" s="261">
        <v>2334</v>
      </c>
      <c r="K15" s="285"/>
      <c r="L15" s="762"/>
      <c r="M15" s="762"/>
      <c r="N15" s="285"/>
    </row>
    <row r="16" spans="1:14" ht="20.25" customHeight="1">
      <c r="B16" s="282" t="s">
        <v>49</v>
      </c>
      <c r="C16" s="261">
        <v>1568</v>
      </c>
      <c r="D16" s="282" t="s">
        <v>50</v>
      </c>
      <c r="E16" s="261">
        <v>517</v>
      </c>
      <c r="F16" s="282" t="s">
        <v>162</v>
      </c>
      <c r="G16" s="261">
        <v>325</v>
      </c>
      <c r="H16" s="282" t="s">
        <v>76</v>
      </c>
      <c r="I16" s="261">
        <v>2410</v>
      </c>
      <c r="K16" s="285"/>
      <c r="L16" s="762"/>
      <c r="M16" s="762"/>
      <c r="N16" s="285"/>
    </row>
    <row r="17" spans="1:14" ht="20.25" customHeight="1"/>
    <row r="18" spans="1:14" s="289" customFormat="1" ht="20.25" customHeight="1">
      <c r="A18" s="770" t="s">
        <v>53</v>
      </c>
      <c r="B18" s="771" t="s">
        <v>624</v>
      </c>
      <c r="C18" s="770" t="s">
        <v>55</v>
      </c>
      <c r="D18" s="771" t="s">
        <v>625</v>
      </c>
      <c r="E18" s="771" t="s">
        <v>626</v>
      </c>
      <c r="F18" s="771" t="s">
        <v>627</v>
      </c>
      <c r="G18" s="771"/>
      <c r="H18" s="771"/>
      <c r="I18" s="771"/>
      <c r="J18" s="771"/>
      <c r="K18" s="771"/>
      <c r="L18" s="771"/>
      <c r="M18" s="771"/>
      <c r="N18" s="771"/>
    </row>
    <row r="19" spans="1:14" s="292" customFormat="1" ht="36.75" customHeight="1">
      <c r="A19" s="770"/>
      <c r="B19" s="771"/>
      <c r="C19" s="770"/>
      <c r="D19" s="771"/>
      <c r="E19" s="771"/>
      <c r="F19" s="290" t="s">
        <v>628</v>
      </c>
      <c r="G19" s="291" t="s">
        <v>59</v>
      </c>
      <c r="H19" s="291" t="s">
        <v>60</v>
      </c>
      <c r="I19" s="291" t="s">
        <v>61</v>
      </c>
      <c r="J19" s="291" t="s">
        <v>62</v>
      </c>
      <c r="K19" s="291" t="s">
        <v>63</v>
      </c>
      <c r="L19" s="291" t="s">
        <v>588</v>
      </c>
      <c r="M19" s="291" t="s">
        <v>64</v>
      </c>
      <c r="N19" s="291" t="s">
        <v>65</v>
      </c>
    </row>
    <row r="20" spans="1:14" ht="26.25" customHeight="1">
      <c r="A20" s="272" t="s">
        <v>318</v>
      </c>
      <c r="B20" s="272">
        <v>500</v>
      </c>
      <c r="C20" s="272" t="s">
        <v>629</v>
      </c>
      <c r="D20" s="293">
        <v>24.846910000000001</v>
      </c>
      <c r="E20" s="293">
        <v>25.39</v>
      </c>
      <c r="F20" s="293">
        <v>5.9</v>
      </c>
      <c r="G20" s="293">
        <v>6.85</v>
      </c>
      <c r="H20" s="293">
        <v>4.1500000000000004</v>
      </c>
      <c r="I20" s="293">
        <v>5.91</v>
      </c>
      <c r="J20" s="293">
        <v>4.71</v>
      </c>
      <c r="K20" s="293">
        <v>0.31</v>
      </c>
      <c r="L20" s="293">
        <v>0</v>
      </c>
      <c r="M20" s="293">
        <v>27.83</v>
      </c>
      <c r="N20" s="294">
        <v>109.61</v>
      </c>
    </row>
    <row r="21" spans="1:14" ht="26.25" customHeight="1">
      <c r="A21" s="272" t="s">
        <v>338</v>
      </c>
      <c r="B21" s="272">
        <v>360</v>
      </c>
      <c r="C21" s="272" t="s">
        <v>629</v>
      </c>
      <c r="D21" s="293">
        <v>17.889775199999999</v>
      </c>
      <c r="E21" s="293">
        <v>17.28</v>
      </c>
      <c r="F21" s="293">
        <v>0.28999999999999998</v>
      </c>
      <c r="G21" s="293">
        <v>0</v>
      </c>
      <c r="H21" s="293">
        <v>4.34</v>
      </c>
      <c r="I21" s="293">
        <v>5.44</v>
      </c>
      <c r="J21" s="293">
        <v>5.55</v>
      </c>
      <c r="K21" s="293">
        <v>0</v>
      </c>
      <c r="L21" s="293">
        <v>0</v>
      </c>
      <c r="M21" s="293">
        <v>15.620000000000001</v>
      </c>
      <c r="N21" s="294">
        <v>90.39</v>
      </c>
    </row>
    <row r="22" spans="1:14" ht="26.25" customHeight="1">
      <c r="A22" s="277" t="s">
        <v>615</v>
      </c>
      <c r="B22" s="272"/>
      <c r="C22" s="272"/>
      <c r="D22" s="272"/>
      <c r="E22" s="272"/>
      <c r="F22" s="295"/>
      <c r="G22" s="295"/>
      <c r="H22" s="295"/>
      <c r="I22" s="295"/>
      <c r="J22" s="295"/>
      <c r="K22" s="295"/>
      <c r="L22" s="293"/>
      <c r="M22" s="293"/>
      <c r="N22" s="296"/>
    </row>
    <row r="23" spans="1:14" ht="26.25" customHeight="1">
      <c r="A23" s="297" t="s">
        <v>630</v>
      </c>
      <c r="B23" s="272">
        <v>3.6</v>
      </c>
      <c r="C23" s="272" t="s">
        <v>560</v>
      </c>
      <c r="D23" s="293">
        <v>25.2</v>
      </c>
      <c r="E23" s="293">
        <v>21.17</v>
      </c>
      <c r="F23" s="293">
        <v>3.21</v>
      </c>
      <c r="G23" s="293">
        <v>2.0499999999999998</v>
      </c>
      <c r="H23" s="293">
        <v>3.4663599999999999</v>
      </c>
      <c r="I23" s="293">
        <v>5.24</v>
      </c>
      <c r="J23" s="293">
        <v>3.75</v>
      </c>
      <c r="K23" s="293">
        <v>2.94</v>
      </c>
      <c r="L23" s="293">
        <v>0</v>
      </c>
      <c r="M23" s="293">
        <v>20.656360000000003</v>
      </c>
      <c r="N23" s="298">
        <v>97.57</v>
      </c>
    </row>
    <row r="24" spans="1:14" ht="26.25" customHeight="1">
      <c r="A24" s="297" t="s">
        <v>631</v>
      </c>
      <c r="B24" s="272">
        <v>1.44</v>
      </c>
      <c r="C24" s="272" t="s">
        <v>560</v>
      </c>
      <c r="D24" s="293">
        <v>10.08</v>
      </c>
      <c r="E24" s="293">
        <v>5.9</v>
      </c>
      <c r="F24" s="293">
        <v>0.52</v>
      </c>
      <c r="G24" s="293">
        <v>0.59</v>
      </c>
      <c r="H24" s="293">
        <v>0.13500000000000001</v>
      </c>
      <c r="I24" s="293">
        <v>0.41</v>
      </c>
      <c r="J24" s="293">
        <v>0.44</v>
      </c>
      <c r="K24" s="293">
        <v>0.44</v>
      </c>
      <c r="L24" s="293">
        <v>0</v>
      </c>
      <c r="M24" s="293">
        <v>2.5349999999999997</v>
      </c>
      <c r="N24" s="298">
        <v>42.97</v>
      </c>
    </row>
    <row r="25" spans="1:14" ht="26.25" customHeight="1">
      <c r="A25" s="299" t="s">
        <v>632</v>
      </c>
      <c r="B25" s="272">
        <v>2.4</v>
      </c>
      <c r="C25" s="272" t="s">
        <v>560</v>
      </c>
      <c r="D25" s="293">
        <v>16.8</v>
      </c>
      <c r="E25" s="293">
        <v>9.6999999999999993</v>
      </c>
      <c r="F25" s="293">
        <v>0</v>
      </c>
      <c r="G25" s="293">
        <v>2.99</v>
      </c>
      <c r="H25" s="293">
        <v>2.1593499999999999</v>
      </c>
      <c r="I25" s="293">
        <v>2.95</v>
      </c>
      <c r="J25" s="293">
        <v>2.04</v>
      </c>
      <c r="K25" s="293">
        <v>1</v>
      </c>
      <c r="L25" s="293">
        <v>0</v>
      </c>
      <c r="M25" s="293">
        <v>11.13935</v>
      </c>
      <c r="N25" s="298">
        <v>114.84</v>
      </c>
    </row>
    <row r="26" spans="1:14" ht="26.25" customHeight="1">
      <c r="A26" s="297" t="s">
        <v>305</v>
      </c>
      <c r="B26" s="272">
        <v>0.24</v>
      </c>
      <c r="C26" s="272" t="s">
        <v>560</v>
      </c>
      <c r="D26" s="293">
        <v>1.68</v>
      </c>
      <c r="E26" s="293">
        <v>1.5</v>
      </c>
      <c r="F26" s="293">
        <v>1E-3</v>
      </c>
      <c r="G26" s="293">
        <v>0.04</v>
      </c>
      <c r="H26" s="293">
        <v>0.24</v>
      </c>
      <c r="I26" s="293">
        <v>0.24</v>
      </c>
      <c r="J26" s="293">
        <v>0.24</v>
      </c>
      <c r="K26" s="293">
        <v>0.24</v>
      </c>
      <c r="L26" s="293">
        <v>0</v>
      </c>
      <c r="M26" s="293">
        <v>1.0009999999999999</v>
      </c>
      <c r="N26" s="298">
        <v>66.73</v>
      </c>
    </row>
    <row r="27" spans="1:14" ht="26.25" customHeight="1">
      <c r="A27" s="297" t="s">
        <v>306</v>
      </c>
      <c r="B27" s="272">
        <v>0.36</v>
      </c>
      <c r="C27" s="272" t="s">
        <v>560</v>
      </c>
      <c r="D27" s="293">
        <v>2.52</v>
      </c>
      <c r="E27" s="293">
        <v>2.25</v>
      </c>
      <c r="F27" s="293">
        <v>1.1800000000000002</v>
      </c>
      <c r="G27" s="293">
        <v>0.44</v>
      </c>
      <c r="H27" s="293">
        <v>0.43968000000000002</v>
      </c>
      <c r="I27" s="293">
        <v>0.46</v>
      </c>
      <c r="J27" s="293">
        <v>0.36</v>
      </c>
      <c r="K27" s="293">
        <v>0.33</v>
      </c>
      <c r="L27" s="293">
        <v>0</v>
      </c>
      <c r="M27" s="293">
        <v>3.2096800000000001</v>
      </c>
      <c r="N27" s="298">
        <v>142.65</v>
      </c>
    </row>
    <row r="28" spans="1:14" ht="26.25" customHeight="1">
      <c r="A28" s="272" t="s">
        <v>67</v>
      </c>
      <c r="B28" s="272">
        <v>0.2</v>
      </c>
      <c r="C28" s="272" t="s">
        <v>68</v>
      </c>
      <c r="D28" s="293">
        <v>1.4000000000000001</v>
      </c>
      <c r="E28" s="293">
        <v>0</v>
      </c>
      <c r="F28" s="293">
        <v>0</v>
      </c>
      <c r="G28" s="293">
        <v>0</v>
      </c>
      <c r="H28" s="293">
        <v>0</v>
      </c>
      <c r="I28" s="293">
        <v>0</v>
      </c>
      <c r="J28" s="293">
        <v>0</v>
      </c>
      <c r="K28" s="293">
        <v>0</v>
      </c>
      <c r="L28" s="293">
        <v>0</v>
      </c>
      <c r="M28" s="293">
        <v>0</v>
      </c>
      <c r="N28" s="300"/>
    </row>
    <row r="29" spans="1:14" s="292" customFormat="1" ht="20.25" customHeight="1">
      <c r="A29" s="277" t="s">
        <v>64</v>
      </c>
      <c r="B29" s="277"/>
      <c r="C29" s="277"/>
      <c r="D29" s="301">
        <v>100.4166852</v>
      </c>
      <c r="E29" s="301">
        <v>83.190000000000012</v>
      </c>
      <c r="F29" s="301">
        <v>11.100999999999999</v>
      </c>
      <c r="G29" s="301">
        <v>12.959999999999997</v>
      </c>
      <c r="H29" s="301">
        <v>14.930389999999999</v>
      </c>
      <c r="I29" s="301">
        <v>20.650000000000002</v>
      </c>
      <c r="J29" s="301">
        <v>17.089999999999996</v>
      </c>
      <c r="K29" s="301">
        <v>5.26</v>
      </c>
      <c r="L29" s="301">
        <v>0</v>
      </c>
      <c r="M29" s="293">
        <v>81.99139000000001</v>
      </c>
      <c r="N29" s="302"/>
    </row>
    <row r="30" spans="1:14">
      <c r="N30" s="285"/>
    </row>
    <row r="31" spans="1:14">
      <c r="N31" s="285"/>
    </row>
    <row r="32" spans="1:14">
      <c r="N32" s="285"/>
    </row>
    <row r="33" spans="14:14">
      <c r="N33" s="285"/>
    </row>
    <row r="34" spans="14:14">
      <c r="N34" s="285"/>
    </row>
    <row r="35" spans="14:14">
      <c r="N35" s="285"/>
    </row>
    <row r="36" spans="14:14">
      <c r="N36" s="285"/>
    </row>
    <row r="37" spans="14:14">
      <c r="N37" s="285"/>
    </row>
    <row r="38" spans="14:14">
      <c r="N38" s="285"/>
    </row>
  </sheetData>
  <mergeCells count="22">
    <mergeCell ref="C12:E12"/>
    <mergeCell ref="L14:M14"/>
    <mergeCell ref="L15:M15"/>
    <mergeCell ref="L16:M16"/>
    <mergeCell ref="A18:A19"/>
    <mergeCell ref="B18:B19"/>
    <mergeCell ref="C18:C19"/>
    <mergeCell ref="D18:D19"/>
    <mergeCell ref="E18:E19"/>
    <mergeCell ref="F18:N18"/>
    <mergeCell ref="B5:D5"/>
    <mergeCell ref="E5:F5"/>
    <mergeCell ref="G5:J5"/>
    <mergeCell ref="A7:A8"/>
    <mergeCell ref="B7:E9"/>
    <mergeCell ref="G7:J9"/>
    <mergeCell ref="A1:N1"/>
    <mergeCell ref="B3:D3"/>
    <mergeCell ref="E3:F3"/>
    <mergeCell ref="G3:H3"/>
    <mergeCell ref="I3:J3"/>
    <mergeCell ref="L3:M3"/>
  </mergeCells>
  <hyperlinks>
    <hyperlink ref="A2" location="'Fact Sheet of VDC'!A1" display="&lt;&lt;Back"/>
  </hyperlink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38"/>
  <sheetViews>
    <sheetView workbookViewId="0">
      <selection activeCell="A2" sqref="A2"/>
    </sheetView>
  </sheetViews>
  <sheetFormatPr defaultRowHeight="12.75"/>
  <cols>
    <col min="1" max="1" width="34.42578125" style="282" customWidth="1"/>
    <col min="2" max="2" width="8.7109375" style="282" customWidth="1"/>
    <col min="3" max="3" width="12.28515625" style="282" customWidth="1"/>
    <col min="4" max="14" width="10.7109375" style="282" customWidth="1"/>
    <col min="15" max="16384" width="9.140625" style="282"/>
  </cols>
  <sheetData>
    <row r="1" spans="1:14" ht="38.25" customHeight="1">
      <c r="A1" s="759" t="s">
        <v>616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</row>
    <row r="2" spans="1:14" ht="15">
      <c r="A2" s="462" t="s">
        <v>585</v>
      </c>
    </row>
    <row r="3" spans="1:14" ht="20.25" customHeight="1">
      <c r="A3" s="282" t="s">
        <v>309</v>
      </c>
      <c r="B3" s="755" t="s">
        <v>656</v>
      </c>
      <c r="C3" s="755"/>
      <c r="D3" s="755"/>
      <c r="E3" s="760" t="s">
        <v>548</v>
      </c>
      <c r="F3" s="760"/>
      <c r="G3" s="761" t="s">
        <v>657</v>
      </c>
      <c r="H3" s="761"/>
      <c r="I3" s="762" t="s">
        <v>4</v>
      </c>
      <c r="J3" s="762"/>
      <c r="K3" s="261">
        <v>5310.25</v>
      </c>
      <c r="L3" s="760" t="s">
        <v>658</v>
      </c>
      <c r="M3" s="760"/>
      <c r="N3" s="283">
        <v>895.8</v>
      </c>
    </row>
    <row r="4" spans="1:14" ht="20.25" customHeight="1"/>
    <row r="5" spans="1:14" ht="20.25" customHeight="1">
      <c r="A5" s="282" t="s">
        <v>618</v>
      </c>
      <c r="B5" s="755" t="s">
        <v>659</v>
      </c>
      <c r="C5" s="755"/>
      <c r="D5" s="755"/>
      <c r="E5" s="763" t="s">
        <v>280</v>
      </c>
      <c r="F5" s="764"/>
      <c r="G5" s="755" t="s">
        <v>660</v>
      </c>
      <c r="H5" s="755"/>
      <c r="I5" s="755"/>
      <c r="J5" s="755"/>
    </row>
    <row r="6" spans="1:14" ht="20.25" customHeight="1"/>
    <row r="7" spans="1:14" ht="20.25" customHeight="1">
      <c r="A7" s="765" t="s">
        <v>621</v>
      </c>
      <c r="B7" s="766" t="s">
        <v>661</v>
      </c>
      <c r="C7" s="754"/>
      <c r="D7" s="754"/>
      <c r="E7" s="754"/>
      <c r="F7" s="284"/>
      <c r="G7" s="766" t="s">
        <v>662</v>
      </c>
      <c r="H7" s="754"/>
      <c r="I7" s="754"/>
      <c r="J7" s="754"/>
      <c r="K7" s="285"/>
    </row>
    <row r="8" spans="1:14" ht="20.25" customHeight="1">
      <c r="A8" s="765"/>
      <c r="B8" s="754"/>
      <c r="C8" s="754"/>
      <c r="D8" s="754"/>
      <c r="E8" s="754"/>
      <c r="F8" s="284"/>
      <c r="G8" s="754"/>
      <c r="H8" s="754"/>
      <c r="I8" s="754"/>
      <c r="J8" s="754"/>
      <c r="K8" s="285"/>
    </row>
    <row r="9" spans="1:14" ht="20.25" customHeight="1">
      <c r="A9" s="286"/>
      <c r="B9" s="754"/>
      <c r="C9" s="754"/>
      <c r="D9" s="754"/>
      <c r="E9" s="754"/>
      <c r="F9" s="287"/>
      <c r="G9" s="754"/>
      <c r="H9" s="754"/>
      <c r="I9" s="754"/>
      <c r="J9" s="754"/>
      <c r="K9" s="288"/>
    </row>
    <row r="10" spans="1:14" ht="20.25" customHeight="1"/>
    <row r="11" spans="1:14" ht="20.25" customHeight="1"/>
    <row r="12" spans="1:14" ht="20.25" customHeight="1">
      <c r="A12" s="282" t="s">
        <v>159</v>
      </c>
      <c r="B12" s="261">
        <v>34</v>
      </c>
      <c r="C12" s="767" t="s">
        <v>612</v>
      </c>
      <c r="D12" s="768"/>
      <c r="E12" s="769"/>
      <c r="F12" s="261">
        <v>33</v>
      </c>
      <c r="G12" s="282" t="s">
        <v>556</v>
      </c>
      <c r="H12" s="261">
        <v>152</v>
      </c>
      <c r="I12" s="282" t="s">
        <v>160</v>
      </c>
      <c r="J12" s="261">
        <v>26</v>
      </c>
      <c r="K12" s="282" t="s">
        <v>161</v>
      </c>
      <c r="L12" s="261">
        <v>133</v>
      </c>
    </row>
    <row r="13" spans="1:14" ht="20.25" customHeight="1"/>
    <row r="14" spans="1:14" ht="20.25" customHeight="1">
      <c r="A14" s="282" t="s">
        <v>96</v>
      </c>
      <c r="B14" s="282" t="s">
        <v>40</v>
      </c>
      <c r="C14" s="353">
        <v>1276</v>
      </c>
      <c r="D14" s="354" t="s">
        <v>41</v>
      </c>
      <c r="E14" s="353">
        <v>727</v>
      </c>
      <c r="F14" s="354" t="s">
        <v>42</v>
      </c>
      <c r="G14" s="353">
        <v>72</v>
      </c>
      <c r="H14" s="354" t="s">
        <v>64</v>
      </c>
      <c r="I14" s="353">
        <v>2075</v>
      </c>
      <c r="J14" s="354" t="s">
        <v>43</v>
      </c>
      <c r="K14" s="353">
        <v>441</v>
      </c>
      <c r="L14" s="772" t="s">
        <v>119</v>
      </c>
      <c r="M14" s="773"/>
      <c r="N14" s="353">
        <v>276</v>
      </c>
    </row>
    <row r="15" spans="1:14" ht="20.25" customHeight="1">
      <c r="A15" s="282" t="s">
        <v>45</v>
      </c>
      <c r="B15" s="282" t="s">
        <v>46</v>
      </c>
      <c r="C15" s="353">
        <v>3150</v>
      </c>
      <c r="D15" s="354" t="s">
        <v>47</v>
      </c>
      <c r="E15" s="353">
        <v>1466</v>
      </c>
      <c r="F15" s="354" t="s">
        <v>48</v>
      </c>
      <c r="G15" s="353">
        <v>478</v>
      </c>
      <c r="H15" s="354" t="s">
        <v>77</v>
      </c>
      <c r="I15" s="353">
        <v>5094</v>
      </c>
      <c r="J15" s="354"/>
      <c r="K15" s="355"/>
      <c r="L15" s="774"/>
      <c r="M15" s="774"/>
      <c r="N15" s="355"/>
    </row>
    <row r="16" spans="1:14" ht="20.25" customHeight="1">
      <c r="B16" s="282" t="s">
        <v>49</v>
      </c>
      <c r="C16" s="353">
        <v>3065</v>
      </c>
      <c r="D16" s="354" t="s">
        <v>50</v>
      </c>
      <c r="E16" s="353">
        <v>1575</v>
      </c>
      <c r="F16" s="354" t="s">
        <v>162</v>
      </c>
      <c r="G16" s="353">
        <v>426</v>
      </c>
      <c r="H16" s="354" t="s">
        <v>76</v>
      </c>
      <c r="I16" s="353">
        <v>5066</v>
      </c>
      <c r="J16" s="354"/>
      <c r="K16" s="355"/>
      <c r="L16" s="774"/>
      <c r="M16" s="774"/>
      <c r="N16" s="355"/>
    </row>
    <row r="17" spans="1:14" ht="20.25" customHeight="1"/>
    <row r="18" spans="1:14" s="289" customFormat="1" ht="20.25" customHeight="1">
      <c r="A18" s="770" t="s">
        <v>53</v>
      </c>
      <c r="B18" s="771" t="s">
        <v>624</v>
      </c>
      <c r="C18" s="770" t="s">
        <v>55</v>
      </c>
      <c r="D18" s="771" t="s">
        <v>625</v>
      </c>
      <c r="E18" s="771" t="s">
        <v>626</v>
      </c>
      <c r="F18" s="771" t="s">
        <v>627</v>
      </c>
      <c r="G18" s="771"/>
      <c r="H18" s="771"/>
      <c r="I18" s="771"/>
      <c r="J18" s="771"/>
      <c r="K18" s="771"/>
      <c r="L18" s="771"/>
      <c r="M18" s="771"/>
      <c r="N18" s="771"/>
    </row>
    <row r="19" spans="1:14" s="292" customFormat="1" ht="20.25" customHeight="1">
      <c r="A19" s="770"/>
      <c r="B19" s="771"/>
      <c r="C19" s="770"/>
      <c r="D19" s="771"/>
      <c r="E19" s="771"/>
      <c r="F19" s="291" t="s">
        <v>58</v>
      </c>
      <c r="G19" s="291" t="s">
        <v>59</v>
      </c>
      <c r="H19" s="291" t="s">
        <v>60</v>
      </c>
      <c r="I19" s="291" t="s">
        <v>61</v>
      </c>
      <c r="J19" s="291" t="s">
        <v>62</v>
      </c>
      <c r="K19" s="291" t="s">
        <v>63</v>
      </c>
      <c r="L19" s="291" t="s">
        <v>588</v>
      </c>
      <c r="M19" s="291" t="s">
        <v>64</v>
      </c>
      <c r="N19" s="291" t="s">
        <v>65</v>
      </c>
    </row>
    <row r="20" spans="1:14" ht="26.25" customHeight="1">
      <c r="A20" s="272" t="s">
        <v>318</v>
      </c>
      <c r="B20" s="272">
        <v>500</v>
      </c>
      <c r="C20" s="272" t="s">
        <v>629</v>
      </c>
      <c r="D20" s="293">
        <v>26.55125</v>
      </c>
      <c r="E20" s="293">
        <v>24.69</v>
      </c>
      <c r="F20" s="293">
        <v>0</v>
      </c>
      <c r="G20" s="293">
        <v>4.1500000000000004</v>
      </c>
      <c r="H20" s="293">
        <v>5.87</v>
      </c>
      <c r="I20" s="293">
        <v>7.9667000000000003</v>
      </c>
      <c r="J20" s="293">
        <v>4.91723</v>
      </c>
      <c r="K20" s="293">
        <v>1.37</v>
      </c>
      <c r="L20" s="293">
        <v>0</v>
      </c>
      <c r="M20" s="293">
        <v>24.27393</v>
      </c>
      <c r="N20" s="301">
        <v>98.314823815309836</v>
      </c>
    </row>
    <row r="21" spans="1:14" ht="26.25" customHeight="1">
      <c r="A21" s="272" t="s">
        <v>338</v>
      </c>
      <c r="B21" s="272">
        <v>360</v>
      </c>
      <c r="C21" s="272" t="s">
        <v>629</v>
      </c>
      <c r="D21" s="293">
        <v>19.116900000000001</v>
      </c>
      <c r="E21" s="293">
        <v>13.89</v>
      </c>
      <c r="F21" s="293">
        <v>0</v>
      </c>
      <c r="G21" s="293">
        <v>0</v>
      </c>
      <c r="H21" s="293">
        <v>1.96</v>
      </c>
      <c r="I21" s="293">
        <v>4.9084000000000003</v>
      </c>
      <c r="J21" s="293">
        <v>4.2305900000000003</v>
      </c>
      <c r="K21" s="293">
        <v>2.2799999999999998</v>
      </c>
      <c r="L21" s="293">
        <v>0</v>
      </c>
      <c r="M21" s="293">
        <v>13.37899</v>
      </c>
      <c r="N21" s="301">
        <v>96.321022318214531</v>
      </c>
    </row>
    <row r="22" spans="1:14" s="358" customFormat="1" ht="26.25" customHeight="1">
      <c r="A22" s="356" t="s">
        <v>615</v>
      </c>
      <c r="B22" s="357"/>
      <c r="C22" s="357"/>
      <c r="E22" s="359"/>
      <c r="F22" s="359"/>
      <c r="G22" s="359"/>
      <c r="H22" s="359"/>
      <c r="I22" s="359"/>
      <c r="J22" s="359"/>
      <c r="K22" s="359"/>
      <c r="L22" s="360"/>
      <c r="M22" s="360"/>
      <c r="N22" s="301"/>
    </row>
    <row r="23" spans="1:14" ht="26.25" customHeight="1">
      <c r="A23" s="297" t="s">
        <v>630</v>
      </c>
      <c r="B23" s="272">
        <v>3.6</v>
      </c>
      <c r="C23" s="272" t="s">
        <v>560</v>
      </c>
      <c r="D23" s="293">
        <v>25.2</v>
      </c>
      <c r="E23" s="293">
        <v>19.84</v>
      </c>
      <c r="F23" s="293">
        <v>0.25</v>
      </c>
      <c r="G23" s="293">
        <v>3.82</v>
      </c>
      <c r="H23" s="293">
        <v>3.7062100000000004</v>
      </c>
      <c r="I23" s="293">
        <v>3.2850000000000001</v>
      </c>
      <c r="J23" s="293">
        <v>3.2</v>
      </c>
      <c r="K23" s="293">
        <v>2.8</v>
      </c>
      <c r="L23" s="293">
        <v>0</v>
      </c>
      <c r="M23" s="293">
        <v>17.061210000000003</v>
      </c>
      <c r="N23" s="301">
        <v>85.994002016129045</v>
      </c>
    </row>
    <row r="24" spans="1:14" ht="26.25" customHeight="1">
      <c r="A24" s="297" t="s">
        <v>631</v>
      </c>
      <c r="B24" s="272">
        <v>1.44</v>
      </c>
      <c r="C24" s="272" t="s">
        <v>560</v>
      </c>
      <c r="D24" s="293">
        <v>10.08</v>
      </c>
      <c r="E24" s="293">
        <v>4.88</v>
      </c>
      <c r="F24" s="293">
        <v>0.15853999999999999</v>
      </c>
      <c r="G24" s="293">
        <v>0.39</v>
      </c>
      <c r="H24" s="293">
        <v>4.3869999999999999E-2</v>
      </c>
      <c r="I24" s="293">
        <v>1.2324999999999999</v>
      </c>
      <c r="J24" s="293">
        <v>1.2524999999999999</v>
      </c>
      <c r="K24" s="293">
        <v>1.1200000000000001</v>
      </c>
      <c r="L24" s="293">
        <v>0</v>
      </c>
      <c r="M24" s="293">
        <v>4.1974099999999996</v>
      </c>
      <c r="N24" s="301">
        <v>86.012499999999989</v>
      </c>
    </row>
    <row r="25" spans="1:14" ht="26.25" customHeight="1">
      <c r="A25" s="299" t="s">
        <v>632</v>
      </c>
      <c r="B25" s="272">
        <v>2.4</v>
      </c>
      <c r="C25" s="272" t="s">
        <v>560</v>
      </c>
      <c r="D25" s="293">
        <v>16.8</v>
      </c>
      <c r="E25" s="293">
        <v>8.8000000000000007</v>
      </c>
      <c r="F25" s="293">
        <v>0</v>
      </c>
      <c r="G25" s="293">
        <v>0.04</v>
      </c>
      <c r="H25" s="293">
        <v>1.56</v>
      </c>
      <c r="I25" s="293">
        <v>2.1693500000000001</v>
      </c>
      <c r="J25" s="293">
        <v>2.2199900000000001</v>
      </c>
      <c r="K25" s="293">
        <v>2.8</v>
      </c>
      <c r="L25" s="293">
        <v>0</v>
      </c>
      <c r="M25" s="293">
        <v>8.7893399999999993</v>
      </c>
      <c r="N25" s="361">
        <v>99.878863636363619</v>
      </c>
    </row>
    <row r="26" spans="1:14" ht="26.25" customHeight="1">
      <c r="A26" s="297" t="s">
        <v>305</v>
      </c>
      <c r="B26" s="272">
        <v>0.24</v>
      </c>
      <c r="C26" s="272" t="s">
        <v>560</v>
      </c>
      <c r="D26" s="293">
        <v>1.68</v>
      </c>
      <c r="E26" s="293">
        <v>1.28</v>
      </c>
      <c r="F26" s="293">
        <v>0</v>
      </c>
      <c r="G26" s="293">
        <v>0</v>
      </c>
      <c r="H26" s="293">
        <v>0.24</v>
      </c>
      <c r="I26" s="293">
        <v>0.24</v>
      </c>
      <c r="J26" s="293">
        <v>0.24</v>
      </c>
      <c r="K26" s="293">
        <v>0.28000000000000003</v>
      </c>
      <c r="L26" s="293">
        <v>0</v>
      </c>
      <c r="M26" s="293">
        <v>1</v>
      </c>
      <c r="N26" s="301">
        <v>78.125</v>
      </c>
    </row>
    <row r="27" spans="1:14" ht="26.25" customHeight="1">
      <c r="A27" s="297" t="s">
        <v>306</v>
      </c>
      <c r="B27" s="272">
        <v>0.36</v>
      </c>
      <c r="C27" s="272" t="s">
        <v>560</v>
      </c>
      <c r="D27" s="293">
        <v>2.52</v>
      </c>
      <c r="E27" s="293">
        <v>2.21</v>
      </c>
      <c r="F27" s="293">
        <v>0.53</v>
      </c>
      <c r="G27" s="293">
        <v>0.72</v>
      </c>
      <c r="H27" s="293">
        <v>0.37</v>
      </c>
      <c r="I27" s="293">
        <v>0.36</v>
      </c>
      <c r="J27" s="293">
        <v>0.36</v>
      </c>
      <c r="K27" s="293">
        <v>0.36</v>
      </c>
      <c r="L27" s="293">
        <v>0</v>
      </c>
      <c r="M27" s="293">
        <v>2.6999999999999997</v>
      </c>
      <c r="N27" s="301">
        <v>122.17194570135746</v>
      </c>
    </row>
    <row r="28" spans="1:14" ht="26.25" customHeight="1">
      <c r="A28" s="272" t="s">
        <v>67</v>
      </c>
      <c r="B28" s="272">
        <v>0.2</v>
      </c>
      <c r="C28" s="272" t="s">
        <v>68</v>
      </c>
      <c r="D28" s="293">
        <v>0.2</v>
      </c>
      <c r="E28" s="293">
        <v>0</v>
      </c>
      <c r="F28" s="293">
        <v>0</v>
      </c>
      <c r="G28" s="293">
        <v>0</v>
      </c>
      <c r="H28" s="293">
        <v>0</v>
      </c>
      <c r="I28" s="293">
        <v>0</v>
      </c>
      <c r="J28" s="293">
        <v>0</v>
      </c>
      <c r="K28" s="293">
        <v>0</v>
      </c>
      <c r="L28" s="293">
        <v>0</v>
      </c>
      <c r="M28" s="293">
        <v>0</v>
      </c>
      <c r="N28" s="293"/>
    </row>
    <row r="29" spans="1:14" s="292" customFormat="1" ht="20.25" customHeight="1">
      <c r="A29" s="277" t="s">
        <v>64</v>
      </c>
      <c r="B29" s="277"/>
      <c r="C29" s="277"/>
      <c r="D29" s="301">
        <v>102.14815</v>
      </c>
      <c r="E29" s="301">
        <v>75.59</v>
      </c>
      <c r="F29" s="301">
        <v>0.93854000000000004</v>
      </c>
      <c r="G29" s="301">
        <v>9.120000000000001</v>
      </c>
      <c r="H29" s="301">
        <v>13.750080000000001</v>
      </c>
      <c r="I29" s="301">
        <v>20.161950000000001</v>
      </c>
      <c r="J29" s="301">
        <v>16.420309999999997</v>
      </c>
      <c r="K29" s="301">
        <v>11.009999999999998</v>
      </c>
      <c r="L29" s="301">
        <v>0</v>
      </c>
      <c r="M29" s="301">
        <v>71.400880000000001</v>
      </c>
      <c r="N29" s="302"/>
    </row>
    <row r="30" spans="1:14">
      <c r="E30" s="362"/>
      <c r="N30" s="285"/>
    </row>
    <row r="31" spans="1:14">
      <c r="D31" s="363"/>
      <c r="E31" s="358"/>
      <c r="N31" s="285"/>
    </row>
    <row r="32" spans="1:14">
      <c r="N32" s="285"/>
    </row>
    <row r="33" spans="14:14">
      <c r="N33" s="285"/>
    </row>
    <row r="34" spans="14:14">
      <c r="N34" s="285"/>
    </row>
    <row r="35" spans="14:14">
      <c r="N35" s="285"/>
    </row>
    <row r="36" spans="14:14">
      <c r="N36" s="285"/>
    </row>
    <row r="37" spans="14:14">
      <c r="N37" s="285"/>
    </row>
    <row r="38" spans="14:14">
      <c r="N38" s="285"/>
    </row>
  </sheetData>
  <mergeCells count="22">
    <mergeCell ref="C12:E12"/>
    <mergeCell ref="L14:M14"/>
    <mergeCell ref="L15:M15"/>
    <mergeCell ref="L16:M16"/>
    <mergeCell ref="A18:A19"/>
    <mergeCell ref="B18:B19"/>
    <mergeCell ref="C18:C19"/>
    <mergeCell ref="D18:D19"/>
    <mergeCell ref="E18:E19"/>
    <mergeCell ref="F18:N18"/>
    <mergeCell ref="B5:D5"/>
    <mergeCell ref="E5:F5"/>
    <mergeCell ref="G5:J5"/>
    <mergeCell ref="A7:A8"/>
    <mergeCell ref="B7:E9"/>
    <mergeCell ref="G7:J9"/>
    <mergeCell ref="A1:N1"/>
    <mergeCell ref="B3:D3"/>
    <mergeCell ref="E3:F3"/>
    <mergeCell ref="G3:H3"/>
    <mergeCell ref="I3:J3"/>
    <mergeCell ref="L3:M3"/>
  </mergeCells>
  <hyperlinks>
    <hyperlink ref="A2" location="'Fact Sheet of VDC'!A1" display="&lt;&lt;Back"/>
  </hyperlink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32"/>
  <sheetViews>
    <sheetView workbookViewId="0">
      <selection activeCell="A4" sqref="A4"/>
    </sheetView>
  </sheetViews>
  <sheetFormatPr defaultColWidth="8.85546875" defaultRowHeight="11.25"/>
  <cols>
    <col min="1" max="1" width="25.28515625" style="319" customWidth="1"/>
    <col min="2" max="2" width="13.140625" style="319" customWidth="1"/>
    <col min="3" max="3" width="11.7109375" style="319" customWidth="1"/>
    <col min="4" max="4" width="10.42578125" style="319" customWidth="1"/>
    <col min="5" max="5" width="9.7109375" style="319" customWidth="1"/>
    <col min="6" max="6" width="10.140625" style="319" customWidth="1"/>
    <col min="7" max="7" width="7.5703125" style="319" customWidth="1"/>
    <col min="8" max="8" width="9.7109375" style="319" customWidth="1"/>
    <col min="9" max="9" width="6.85546875" style="319" customWidth="1"/>
    <col min="10" max="10" width="10" style="319" customWidth="1"/>
    <col min="11" max="11" width="8.7109375" style="319" customWidth="1"/>
    <col min="12" max="12" width="9.28515625" style="319" customWidth="1"/>
    <col min="13" max="13" width="11.7109375" style="319" customWidth="1"/>
    <col min="14" max="14" width="8.5703125" style="319" customWidth="1"/>
    <col min="15" max="16384" width="8.85546875" style="319"/>
  </cols>
  <sheetData>
    <row r="1" spans="1:14" ht="12.75">
      <c r="A1" s="775" t="s">
        <v>31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</row>
    <row r="2" spans="1:14" ht="13.5" thickBot="1">
      <c r="A2" s="775" t="s">
        <v>635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</row>
    <row r="3" spans="1:14" ht="26.45" customHeight="1" thickBot="1">
      <c r="A3" s="320" t="s">
        <v>636</v>
      </c>
      <c r="B3" s="776" t="s">
        <v>637</v>
      </c>
      <c r="C3" s="777"/>
      <c r="D3" s="777"/>
      <c r="E3" s="778"/>
      <c r="F3" s="779" t="s">
        <v>638</v>
      </c>
      <c r="G3" s="780"/>
      <c r="H3" s="321">
        <v>10</v>
      </c>
      <c r="I3" s="781" t="s">
        <v>639</v>
      </c>
      <c r="J3" s="782"/>
      <c r="K3" s="322">
        <v>5200.9949999999999</v>
      </c>
      <c r="L3" s="779" t="s">
        <v>33</v>
      </c>
      <c r="M3" s="783"/>
      <c r="N3" s="322">
        <f>712.05</f>
        <v>712.05</v>
      </c>
    </row>
    <row r="4" spans="1:14" ht="15.75" thickBot="1">
      <c r="A4" s="462" t="s">
        <v>585</v>
      </c>
      <c r="B4" s="324"/>
      <c r="C4" s="324"/>
      <c r="D4" s="324"/>
      <c r="E4" s="324"/>
      <c r="F4" s="323"/>
      <c r="G4" s="323"/>
      <c r="H4" s="323"/>
      <c r="I4" s="323"/>
      <c r="J4" s="323"/>
      <c r="K4" s="325"/>
      <c r="L4" s="326"/>
      <c r="M4" s="323"/>
      <c r="N4" s="327"/>
    </row>
    <row r="5" spans="1:14" ht="22.15" customHeight="1" thickBot="1">
      <c r="A5" s="781" t="s">
        <v>347</v>
      </c>
      <c r="B5" s="782"/>
      <c r="C5" s="785" t="s">
        <v>640</v>
      </c>
      <c r="D5" s="786"/>
      <c r="E5" s="786"/>
      <c r="F5" s="787"/>
      <c r="G5" s="779" t="s">
        <v>313</v>
      </c>
      <c r="H5" s="780"/>
      <c r="I5" s="780"/>
      <c r="J5" s="783"/>
      <c r="K5" s="785" t="s">
        <v>641</v>
      </c>
      <c r="L5" s="786"/>
      <c r="M5" s="786"/>
      <c r="N5" s="787"/>
    </row>
    <row r="6" spans="1:14" ht="12" thickBot="1">
      <c r="A6" s="323"/>
      <c r="B6" s="328"/>
      <c r="C6" s="328"/>
      <c r="D6" s="328"/>
      <c r="E6" s="328"/>
      <c r="F6" s="328"/>
      <c r="G6" s="323"/>
      <c r="H6" s="323"/>
      <c r="I6" s="323"/>
      <c r="J6" s="323"/>
      <c r="K6" s="328"/>
      <c r="L6" s="328"/>
      <c r="M6" s="328"/>
      <c r="N6" s="328"/>
    </row>
    <row r="7" spans="1:14" ht="58.5" customHeight="1" thickBot="1">
      <c r="A7" s="788" t="s">
        <v>642</v>
      </c>
      <c r="B7" s="788"/>
      <c r="C7" s="789" t="s">
        <v>643</v>
      </c>
      <c r="D7" s="790"/>
      <c r="E7" s="790"/>
      <c r="F7" s="790"/>
      <c r="G7" s="791"/>
      <c r="H7" s="329"/>
      <c r="I7" s="789" t="s">
        <v>644</v>
      </c>
      <c r="J7" s="790"/>
      <c r="K7" s="790"/>
      <c r="L7" s="790"/>
      <c r="M7" s="790"/>
      <c r="N7" s="791"/>
    </row>
    <row r="8" spans="1:14" ht="15" customHeight="1" thickBot="1">
      <c r="A8" s="323"/>
      <c r="B8" s="323"/>
      <c r="C8" s="330"/>
      <c r="D8" s="321"/>
      <c r="E8" s="321"/>
      <c r="F8" s="321"/>
      <c r="G8" s="321"/>
      <c r="H8" s="323"/>
      <c r="I8" s="330"/>
      <c r="J8" s="323"/>
      <c r="K8" s="328"/>
      <c r="L8" s="328"/>
      <c r="M8" s="328"/>
      <c r="N8" s="328"/>
    </row>
    <row r="9" spans="1:14" ht="17.45" customHeight="1" thickBot="1">
      <c r="A9" s="323" t="s">
        <v>645</v>
      </c>
      <c r="B9" s="323"/>
      <c r="C9" s="322">
        <v>22</v>
      </c>
      <c r="D9" s="323" t="s">
        <v>646</v>
      </c>
      <c r="F9" s="323"/>
      <c r="G9" s="322">
        <v>21</v>
      </c>
      <c r="H9" s="323" t="s">
        <v>93</v>
      </c>
      <c r="I9" s="322">
        <v>106</v>
      </c>
      <c r="J9" s="323" t="s">
        <v>94</v>
      </c>
      <c r="K9" s="322">
        <v>16</v>
      </c>
      <c r="L9" s="323" t="s">
        <v>448</v>
      </c>
      <c r="M9" s="331">
        <v>74</v>
      </c>
      <c r="N9" s="323"/>
    </row>
    <row r="10" spans="1:14" ht="12" thickBot="1">
      <c r="A10" s="323"/>
      <c r="B10" s="323"/>
      <c r="C10" s="327"/>
      <c r="D10" s="323"/>
      <c r="F10" s="323"/>
      <c r="G10" s="323"/>
      <c r="H10" s="323"/>
      <c r="I10" s="323"/>
      <c r="J10" s="323"/>
      <c r="K10" s="323"/>
      <c r="L10" s="327"/>
      <c r="M10" s="323"/>
      <c r="N10" s="323"/>
    </row>
    <row r="11" spans="1:14" ht="16.149999999999999" customHeight="1" thickBot="1">
      <c r="A11" s="323" t="s">
        <v>39</v>
      </c>
      <c r="B11" s="323" t="s">
        <v>40</v>
      </c>
      <c r="C11" s="322">
        <v>781</v>
      </c>
      <c r="D11" s="323" t="s">
        <v>41</v>
      </c>
      <c r="E11" s="322">
        <v>549</v>
      </c>
      <c r="F11" s="323" t="s">
        <v>42</v>
      </c>
      <c r="G11" s="332">
        <v>79</v>
      </c>
      <c r="H11" s="323" t="s">
        <v>64</v>
      </c>
      <c r="I11" s="322">
        <v>1409</v>
      </c>
      <c r="J11" s="323" t="s">
        <v>43</v>
      </c>
      <c r="K11" s="322">
        <v>341</v>
      </c>
      <c r="L11" s="323" t="s">
        <v>647</v>
      </c>
      <c r="M11" s="323"/>
      <c r="N11" s="331">
        <v>234</v>
      </c>
    </row>
    <row r="12" spans="1:14" ht="16.149999999999999" customHeight="1" thickBot="1">
      <c r="A12" s="323" t="s">
        <v>132</v>
      </c>
      <c r="B12" s="323" t="s">
        <v>46</v>
      </c>
      <c r="C12" s="332">
        <v>1918</v>
      </c>
      <c r="D12" s="323" t="s">
        <v>47</v>
      </c>
      <c r="E12" s="332">
        <v>1403</v>
      </c>
      <c r="F12" s="323" t="s">
        <v>402</v>
      </c>
      <c r="G12" s="332">
        <v>226</v>
      </c>
      <c r="H12" s="323" t="s">
        <v>77</v>
      </c>
      <c r="I12" s="322">
        <v>3547</v>
      </c>
      <c r="J12" s="323"/>
      <c r="K12" s="323"/>
      <c r="L12" s="323"/>
      <c r="M12" s="323"/>
      <c r="N12" s="323"/>
    </row>
    <row r="13" spans="1:14" ht="16.149999999999999" customHeight="1" thickBot="1">
      <c r="A13" s="323"/>
      <c r="B13" s="323" t="s">
        <v>49</v>
      </c>
      <c r="C13" s="332">
        <v>2037</v>
      </c>
      <c r="D13" s="323" t="s">
        <v>50</v>
      </c>
      <c r="E13" s="332">
        <v>1312</v>
      </c>
      <c r="F13" s="323" t="s">
        <v>162</v>
      </c>
      <c r="G13" s="332">
        <v>141</v>
      </c>
      <c r="H13" s="323" t="s">
        <v>76</v>
      </c>
      <c r="I13" s="322">
        <v>3490</v>
      </c>
      <c r="J13" s="323"/>
      <c r="K13" s="323"/>
      <c r="L13" s="323"/>
      <c r="M13" s="323"/>
      <c r="N13" s="323"/>
    </row>
    <row r="14" spans="1:14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</row>
    <row r="15" spans="1:14">
      <c r="A15" s="323" t="s">
        <v>52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</row>
    <row r="16" spans="1:14">
      <c r="A16" s="327"/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</row>
    <row r="17" spans="1:15">
      <c r="A17" s="792" t="s">
        <v>53</v>
      </c>
      <c r="B17" s="792" t="s">
        <v>648</v>
      </c>
      <c r="C17" s="792" t="s">
        <v>55</v>
      </c>
      <c r="D17" s="792" t="s">
        <v>649</v>
      </c>
      <c r="E17" s="792" t="s">
        <v>650</v>
      </c>
      <c r="F17" s="784" t="s">
        <v>289</v>
      </c>
      <c r="G17" s="784"/>
      <c r="H17" s="784"/>
      <c r="I17" s="784"/>
      <c r="J17" s="784"/>
      <c r="K17" s="784"/>
      <c r="L17" s="784"/>
      <c r="M17" s="784"/>
      <c r="N17" s="784"/>
    </row>
    <row r="18" spans="1:15">
      <c r="A18" s="792"/>
      <c r="B18" s="792"/>
      <c r="C18" s="792"/>
      <c r="D18" s="792"/>
      <c r="E18" s="792"/>
      <c r="F18" s="333" t="s">
        <v>395</v>
      </c>
      <c r="G18" s="333" t="s">
        <v>394</v>
      </c>
      <c r="H18" s="333" t="s">
        <v>393</v>
      </c>
      <c r="I18" s="333" t="s">
        <v>392</v>
      </c>
      <c r="J18" s="333" t="s">
        <v>391</v>
      </c>
      <c r="K18" s="333" t="s">
        <v>390</v>
      </c>
      <c r="L18" s="333" t="s">
        <v>389</v>
      </c>
      <c r="M18" s="333" t="s">
        <v>64</v>
      </c>
      <c r="N18" s="334" t="s">
        <v>65</v>
      </c>
    </row>
    <row r="19" spans="1:15" ht="22.5">
      <c r="A19" s="335" t="s">
        <v>370</v>
      </c>
      <c r="B19" s="272">
        <v>500</v>
      </c>
      <c r="C19" s="335" t="s">
        <v>651</v>
      </c>
      <c r="D19" s="336">
        <v>26.004975000000002</v>
      </c>
      <c r="E19" s="337">
        <v>21.556999999999999</v>
      </c>
      <c r="F19" s="337">
        <v>2.5325000000000002</v>
      </c>
      <c r="G19" s="337">
        <v>14.082560000000001</v>
      </c>
      <c r="H19" s="337">
        <v>5.5801499999999997</v>
      </c>
      <c r="I19" s="337">
        <v>1.44851</v>
      </c>
      <c r="J19" s="337">
        <v>0</v>
      </c>
      <c r="K19" s="337">
        <v>0</v>
      </c>
      <c r="L19" s="337">
        <v>0</v>
      </c>
      <c r="M19" s="336">
        <v>23.643719999999998</v>
      </c>
      <c r="N19" s="338">
        <v>109.68001113327458</v>
      </c>
    </row>
    <row r="20" spans="1:15" ht="28.5" customHeight="1">
      <c r="A20" s="339" t="s">
        <v>320</v>
      </c>
      <c r="B20" s="272">
        <v>360</v>
      </c>
      <c r="C20" s="335" t="s">
        <v>651</v>
      </c>
      <c r="D20" s="336">
        <v>18.723582</v>
      </c>
      <c r="E20" s="337">
        <v>5.9080000000000004</v>
      </c>
      <c r="F20" s="337">
        <v>0</v>
      </c>
      <c r="G20" s="337">
        <v>1.4036999999999999</v>
      </c>
      <c r="H20" s="337">
        <v>1.39107</v>
      </c>
      <c r="I20" s="337">
        <v>0.88482000000000005</v>
      </c>
      <c r="J20" s="337">
        <v>0</v>
      </c>
      <c r="K20" s="337">
        <v>0</v>
      </c>
      <c r="L20" s="337">
        <v>0</v>
      </c>
      <c r="M20" s="336">
        <v>3.6795899999999997</v>
      </c>
      <c r="N20" s="338">
        <v>62.281482735274196</v>
      </c>
    </row>
    <row r="21" spans="1:15" s="346" customFormat="1" ht="20.25" customHeight="1">
      <c r="A21" s="340" t="s">
        <v>615</v>
      </c>
      <c r="B21" s="341"/>
      <c r="C21" s="342"/>
      <c r="D21" s="343"/>
      <c r="E21" s="344"/>
      <c r="F21" s="344"/>
      <c r="G21" s="344"/>
      <c r="H21" s="344"/>
      <c r="I21" s="344"/>
      <c r="J21" s="344"/>
      <c r="K21" s="344"/>
      <c r="L21" s="344"/>
      <c r="M21" s="343"/>
      <c r="N21" s="345"/>
    </row>
    <row r="22" spans="1:15" ht="22.5">
      <c r="A22" s="339" t="s">
        <v>652</v>
      </c>
      <c r="B22" s="272">
        <v>3.6</v>
      </c>
      <c r="C22" s="335" t="s">
        <v>242</v>
      </c>
      <c r="D22" s="336">
        <v>25.2</v>
      </c>
      <c r="E22" s="337">
        <v>13.39</v>
      </c>
      <c r="F22" s="337">
        <v>0.9</v>
      </c>
      <c r="G22" s="337">
        <v>3.03105</v>
      </c>
      <c r="H22" s="337">
        <v>3.6</v>
      </c>
      <c r="I22" s="337">
        <v>2.75</v>
      </c>
      <c r="J22" s="337">
        <v>0</v>
      </c>
      <c r="K22" s="337">
        <v>0</v>
      </c>
      <c r="L22" s="337">
        <v>0</v>
      </c>
      <c r="M22" s="336">
        <v>10.28105</v>
      </c>
      <c r="N22" s="338">
        <v>76.78155339805825</v>
      </c>
    </row>
    <row r="23" spans="1:15" ht="22.5">
      <c r="A23" s="347" t="s">
        <v>246</v>
      </c>
      <c r="B23" s="272">
        <v>1.44</v>
      </c>
      <c r="C23" s="335" t="s">
        <v>242</v>
      </c>
      <c r="D23" s="336">
        <v>10.08</v>
      </c>
      <c r="E23" s="337">
        <v>4.3875000000000002</v>
      </c>
      <c r="F23" s="337">
        <v>0.34547</v>
      </c>
      <c r="G23" s="337">
        <v>1.2704200000000001</v>
      </c>
      <c r="H23" s="337">
        <v>1.4524999999999999</v>
      </c>
      <c r="I23" s="337">
        <v>1.1000000000000001</v>
      </c>
      <c r="J23" s="337">
        <v>0</v>
      </c>
      <c r="K23" s="337">
        <v>0</v>
      </c>
      <c r="L23" s="337">
        <v>0</v>
      </c>
      <c r="M23" s="336">
        <v>4.1683900000000005</v>
      </c>
      <c r="N23" s="338">
        <v>95.0060398860399</v>
      </c>
    </row>
    <row r="24" spans="1:15" ht="22.5">
      <c r="A24" s="339" t="s">
        <v>653</v>
      </c>
      <c r="B24" s="272">
        <v>2.4</v>
      </c>
      <c r="C24" s="335" t="s">
        <v>242</v>
      </c>
      <c r="D24" s="336">
        <v>16.8</v>
      </c>
      <c r="E24" s="337">
        <v>7.6</v>
      </c>
      <c r="F24" s="337">
        <v>0.6</v>
      </c>
      <c r="G24" s="337">
        <v>2.3419400000000001</v>
      </c>
      <c r="H24" s="337">
        <v>2.4</v>
      </c>
      <c r="I24" s="337">
        <v>1.8</v>
      </c>
      <c r="J24" s="337">
        <v>0</v>
      </c>
      <c r="K24" s="337">
        <v>0</v>
      </c>
      <c r="L24" s="337">
        <v>0</v>
      </c>
      <c r="M24" s="336">
        <v>7.14194</v>
      </c>
      <c r="N24" s="338">
        <v>93.972894736842107</v>
      </c>
    </row>
    <row r="25" spans="1:15" ht="22.5">
      <c r="A25" s="339" t="s">
        <v>654</v>
      </c>
      <c r="B25" s="272">
        <v>0.24</v>
      </c>
      <c r="C25" s="335" t="s">
        <v>242</v>
      </c>
      <c r="D25" s="336">
        <v>1.68</v>
      </c>
      <c r="E25" s="337">
        <v>0.8125</v>
      </c>
      <c r="F25" s="337">
        <v>0.06</v>
      </c>
      <c r="G25" s="337">
        <v>0.23677999999999999</v>
      </c>
      <c r="H25" s="337">
        <v>0.24</v>
      </c>
      <c r="I25" s="337">
        <v>0.18</v>
      </c>
      <c r="J25" s="337">
        <v>0</v>
      </c>
      <c r="K25" s="337">
        <v>0</v>
      </c>
      <c r="L25" s="337">
        <v>0</v>
      </c>
      <c r="M25" s="336">
        <v>0.71677999999999997</v>
      </c>
      <c r="N25" s="338">
        <v>88.219076923076926</v>
      </c>
    </row>
    <row r="26" spans="1:15" ht="22.5">
      <c r="A26" s="339" t="s">
        <v>306</v>
      </c>
      <c r="B26" s="272">
        <v>0.36</v>
      </c>
      <c r="C26" s="335" t="s">
        <v>242</v>
      </c>
      <c r="D26" s="336">
        <v>2.52</v>
      </c>
      <c r="E26" s="337">
        <v>1.2106600000000001</v>
      </c>
      <c r="F26" s="337">
        <v>0.10829</v>
      </c>
      <c r="G26" s="337">
        <v>0.20166999999999999</v>
      </c>
      <c r="H26" s="337">
        <v>0.28550999999999999</v>
      </c>
      <c r="I26" s="337">
        <v>0.24507000000000001</v>
      </c>
      <c r="J26" s="337">
        <v>0</v>
      </c>
      <c r="K26" s="337">
        <v>0</v>
      </c>
      <c r="L26" s="337">
        <v>0</v>
      </c>
      <c r="M26" s="336">
        <v>0.84053999999999995</v>
      </c>
      <c r="N26" s="338">
        <v>69.428245750251918</v>
      </c>
    </row>
    <row r="27" spans="1:15" ht="12.75">
      <c r="A27" s="339" t="s">
        <v>655</v>
      </c>
      <c r="B27" s="272">
        <v>0.2</v>
      </c>
      <c r="C27" s="348" t="s">
        <v>68</v>
      </c>
      <c r="D27" s="336">
        <v>1.4000000000000001</v>
      </c>
      <c r="E27" s="337">
        <v>0.2</v>
      </c>
      <c r="F27" s="337">
        <v>0</v>
      </c>
      <c r="G27" s="337">
        <v>0</v>
      </c>
      <c r="H27" s="337">
        <v>0.2</v>
      </c>
      <c r="I27" s="337">
        <v>0</v>
      </c>
      <c r="J27" s="337">
        <v>0</v>
      </c>
      <c r="K27" s="337">
        <v>0</v>
      </c>
      <c r="L27" s="337">
        <v>0</v>
      </c>
      <c r="M27" s="336">
        <v>0.2</v>
      </c>
      <c r="N27" s="338">
        <v>100</v>
      </c>
    </row>
    <row r="28" spans="1:15" ht="20.25" customHeight="1">
      <c r="A28" s="339" t="s">
        <v>64</v>
      </c>
      <c r="B28" s="349"/>
      <c r="C28" s="349"/>
      <c r="D28" s="350">
        <v>102.408557</v>
      </c>
      <c r="E28" s="351">
        <v>55.065660000000008</v>
      </c>
      <c r="F28" s="350">
        <v>4.5462600000000002</v>
      </c>
      <c r="G28" s="350">
        <v>22.568120000000004</v>
      </c>
      <c r="H28" s="350">
        <v>15.149230000000001</v>
      </c>
      <c r="I28" s="350">
        <v>8.4084000000000003</v>
      </c>
      <c r="J28" s="350">
        <v>0</v>
      </c>
      <c r="K28" s="350">
        <v>0</v>
      </c>
      <c r="L28" s="350">
        <v>0</v>
      </c>
      <c r="M28" s="350">
        <v>50.672010000000007</v>
      </c>
      <c r="N28" s="352"/>
    </row>
    <row r="32" spans="1:15">
      <c r="O32" s="323"/>
    </row>
  </sheetData>
  <mergeCells count="19">
    <mergeCell ref="F17:N17"/>
    <mergeCell ref="A5:B5"/>
    <mergeCell ref="C5:F5"/>
    <mergeCell ref="G5:J5"/>
    <mergeCell ref="K5:N5"/>
    <mergeCell ref="A7:B7"/>
    <mergeCell ref="C7:G7"/>
    <mergeCell ref="I7:N7"/>
    <mergeCell ref="A17:A18"/>
    <mergeCell ref="B17:B18"/>
    <mergeCell ref="C17:C18"/>
    <mergeCell ref="D17:D18"/>
    <mergeCell ref="E17:E18"/>
    <mergeCell ref="A1:N1"/>
    <mergeCell ref="A2:N2"/>
    <mergeCell ref="B3:E3"/>
    <mergeCell ref="F3:G3"/>
    <mergeCell ref="I3:J3"/>
    <mergeCell ref="L3:M3"/>
  </mergeCells>
  <hyperlinks>
    <hyperlink ref="A4" location="'Fact Sheet of VDC'!A1" display="&lt;&lt;Back"/>
  </hyperlinks>
  <printOptions horizontalCentered="1" verticalCentered="1"/>
  <pageMargins left="0.15748031496062992" right="0.15748031496062992" top="0.35433070866141736" bottom="0.51181102362204722" header="0.31496062992125984" footer="0.31496062992125984"/>
  <pageSetup scale="8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30"/>
  <sheetViews>
    <sheetView workbookViewId="0">
      <selection activeCell="A4" sqref="A4"/>
    </sheetView>
  </sheetViews>
  <sheetFormatPr defaultColWidth="30.140625" defaultRowHeight="12.75"/>
  <cols>
    <col min="1" max="1" width="27.7109375" style="304" customWidth="1"/>
    <col min="2" max="11" width="12.42578125" style="304" customWidth="1"/>
    <col min="12" max="12" width="11.28515625" style="304" customWidth="1"/>
    <col min="13" max="13" width="9.7109375" style="304" customWidth="1"/>
    <col min="14" max="14" width="11.28515625" style="304" customWidth="1"/>
    <col min="15" max="15" width="13.42578125" style="304" customWidth="1"/>
    <col min="16" max="256" width="30.140625" style="304"/>
    <col min="257" max="257" width="27.7109375" style="304" customWidth="1"/>
    <col min="258" max="267" width="12.42578125" style="304" customWidth="1"/>
    <col min="268" max="268" width="11.28515625" style="304" customWidth="1"/>
    <col min="269" max="269" width="9.7109375" style="304" customWidth="1"/>
    <col min="270" max="270" width="11.28515625" style="304" customWidth="1"/>
    <col min="271" max="271" width="13.42578125" style="304" customWidth="1"/>
    <col min="272" max="512" width="30.140625" style="304"/>
    <col min="513" max="513" width="27.7109375" style="304" customWidth="1"/>
    <col min="514" max="523" width="12.42578125" style="304" customWidth="1"/>
    <col min="524" max="524" width="11.28515625" style="304" customWidth="1"/>
    <col min="525" max="525" width="9.7109375" style="304" customWidth="1"/>
    <col min="526" max="526" width="11.28515625" style="304" customWidth="1"/>
    <col min="527" max="527" width="13.42578125" style="304" customWidth="1"/>
    <col min="528" max="768" width="30.140625" style="304"/>
    <col min="769" max="769" width="27.7109375" style="304" customWidth="1"/>
    <col min="770" max="779" width="12.42578125" style="304" customWidth="1"/>
    <col min="780" max="780" width="11.28515625" style="304" customWidth="1"/>
    <col min="781" max="781" width="9.7109375" style="304" customWidth="1"/>
    <col min="782" max="782" width="11.28515625" style="304" customWidth="1"/>
    <col min="783" max="783" width="13.42578125" style="304" customWidth="1"/>
    <col min="784" max="1024" width="30.140625" style="304"/>
    <col min="1025" max="1025" width="27.7109375" style="304" customWidth="1"/>
    <col min="1026" max="1035" width="12.42578125" style="304" customWidth="1"/>
    <col min="1036" max="1036" width="11.28515625" style="304" customWidth="1"/>
    <col min="1037" max="1037" width="9.7109375" style="304" customWidth="1"/>
    <col min="1038" max="1038" width="11.28515625" style="304" customWidth="1"/>
    <col min="1039" max="1039" width="13.42578125" style="304" customWidth="1"/>
    <col min="1040" max="1280" width="30.140625" style="304"/>
    <col min="1281" max="1281" width="27.7109375" style="304" customWidth="1"/>
    <col min="1282" max="1291" width="12.42578125" style="304" customWidth="1"/>
    <col min="1292" max="1292" width="11.28515625" style="304" customWidth="1"/>
    <col min="1293" max="1293" width="9.7109375" style="304" customWidth="1"/>
    <col min="1294" max="1294" width="11.28515625" style="304" customWidth="1"/>
    <col min="1295" max="1295" width="13.42578125" style="304" customWidth="1"/>
    <col min="1296" max="1536" width="30.140625" style="304"/>
    <col min="1537" max="1537" width="27.7109375" style="304" customWidth="1"/>
    <col min="1538" max="1547" width="12.42578125" style="304" customWidth="1"/>
    <col min="1548" max="1548" width="11.28515625" style="304" customWidth="1"/>
    <col min="1549" max="1549" width="9.7109375" style="304" customWidth="1"/>
    <col min="1550" max="1550" width="11.28515625" style="304" customWidth="1"/>
    <col min="1551" max="1551" width="13.42578125" style="304" customWidth="1"/>
    <col min="1552" max="1792" width="30.140625" style="304"/>
    <col min="1793" max="1793" width="27.7109375" style="304" customWidth="1"/>
    <col min="1794" max="1803" width="12.42578125" style="304" customWidth="1"/>
    <col min="1804" max="1804" width="11.28515625" style="304" customWidth="1"/>
    <col min="1805" max="1805" width="9.7109375" style="304" customWidth="1"/>
    <col min="1806" max="1806" width="11.28515625" style="304" customWidth="1"/>
    <col min="1807" max="1807" width="13.42578125" style="304" customWidth="1"/>
    <col min="1808" max="2048" width="30.140625" style="304"/>
    <col min="2049" max="2049" width="27.7109375" style="304" customWidth="1"/>
    <col min="2050" max="2059" width="12.42578125" style="304" customWidth="1"/>
    <col min="2060" max="2060" width="11.28515625" style="304" customWidth="1"/>
    <col min="2061" max="2061" width="9.7109375" style="304" customWidth="1"/>
    <col min="2062" max="2062" width="11.28515625" style="304" customWidth="1"/>
    <col min="2063" max="2063" width="13.42578125" style="304" customWidth="1"/>
    <col min="2064" max="2304" width="30.140625" style="304"/>
    <col min="2305" max="2305" width="27.7109375" style="304" customWidth="1"/>
    <col min="2306" max="2315" width="12.42578125" style="304" customWidth="1"/>
    <col min="2316" max="2316" width="11.28515625" style="304" customWidth="1"/>
    <col min="2317" max="2317" width="9.7109375" style="304" customWidth="1"/>
    <col min="2318" max="2318" width="11.28515625" style="304" customWidth="1"/>
    <col min="2319" max="2319" width="13.42578125" style="304" customWidth="1"/>
    <col min="2320" max="2560" width="30.140625" style="304"/>
    <col min="2561" max="2561" width="27.7109375" style="304" customWidth="1"/>
    <col min="2562" max="2571" width="12.42578125" style="304" customWidth="1"/>
    <col min="2572" max="2572" width="11.28515625" style="304" customWidth="1"/>
    <col min="2573" max="2573" width="9.7109375" style="304" customWidth="1"/>
    <col min="2574" max="2574" width="11.28515625" style="304" customWidth="1"/>
    <col min="2575" max="2575" width="13.42578125" style="304" customWidth="1"/>
    <col min="2576" max="2816" width="30.140625" style="304"/>
    <col min="2817" max="2817" width="27.7109375" style="304" customWidth="1"/>
    <col min="2818" max="2827" width="12.42578125" style="304" customWidth="1"/>
    <col min="2828" max="2828" width="11.28515625" style="304" customWidth="1"/>
    <col min="2829" max="2829" width="9.7109375" style="304" customWidth="1"/>
    <col min="2830" max="2830" width="11.28515625" style="304" customWidth="1"/>
    <col min="2831" max="2831" width="13.42578125" style="304" customWidth="1"/>
    <col min="2832" max="3072" width="30.140625" style="304"/>
    <col min="3073" max="3073" width="27.7109375" style="304" customWidth="1"/>
    <col min="3074" max="3083" width="12.42578125" style="304" customWidth="1"/>
    <col min="3084" max="3084" width="11.28515625" style="304" customWidth="1"/>
    <col min="3085" max="3085" width="9.7109375" style="304" customWidth="1"/>
    <col min="3086" max="3086" width="11.28515625" style="304" customWidth="1"/>
    <col min="3087" max="3087" width="13.42578125" style="304" customWidth="1"/>
    <col min="3088" max="3328" width="30.140625" style="304"/>
    <col min="3329" max="3329" width="27.7109375" style="304" customWidth="1"/>
    <col min="3330" max="3339" width="12.42578125" style="304" customWidth="1"/>
    <col min="3340" max="3340" width="11.28515625" style="304" customWidth="1"/>
    <col min="3341" max="3341" width="9.7109375" style="304" customWidth="1"/>
    <col min="3342" max="3342" width="11.28515625" style="304" customWidth="1"/>
    <col min="3343" max="3343" width="13.42578125" style="304" customWidth="1"/>
    <col min="3344" max="3584" width="30.140625" style="304"/>
    <col min="3585" max="3585" width="27.7109375" style="304" customWidth="1"/>
    <col min="3586" max="3595" width="12.42578125" style="304" customWidth="1"/>
    <col min="3596" max="3596" width="11.28515625" style="304" customWidth="1"/>
    <col min="3597" max="3597" width="9.7109375" style="304" customWidth="1"/>
    <col min="3598" max="3598" width="11.28515625" style="304" customWidth="1"/>
    <col min="3599" max="3599" width="13.42578125" style="304" customWidth="1"/>
    <col min="3600" max="3840" width="30.140625" style="304"/>
    <col min="3841" max="3841" width="27.7109375" style="304" customWidth="1"/>
    <col min="3842" max="3851" width="12.42578125" style="304" customWidth="1"/>
    <col min="3852" max="3852" width="11.28515625" style="304" customWidth="1"/>
    <col min="3853" max="3853" width="9.7109375" style="304" customWidth="1"/>
    <col min="3854" max="3854" width="11.28515625" style="304" customWidth="1"/>
    <col min="3855" max="3855" width="13.42578125" style="304" customWidth="1"/>
    <col min="3856" max="4096" width="30.140625" style="304"/>
    <col min="4097" max="4097" width="27.7109375" style="304" customWidth="1"/>
    <col min="4098" max="4107" width="12.42578125" style="304" customWidth="1"/>
    <col min="4108" max="4108" width="11.28515625" style="304" customWidth="1"/>
    <col min="4109" max="4109" width="9.7109375" style="304" customWidth="1"/>
    <col min="4110" max="4110" width="11.28515625" style="304" customWidth="1"/>
    <col min="4111" max="4111" width="13.42578125" style="304" customWidth="1"/>
    <col min="4112" max="4352" width="30.140625" style="304"/>
    <col min="4353" max="4353" width="27.7109375" style="304" customWidth="1"/>
    <col min="4354" max="4363" width="12.42578125" style="304" customWidth="1"/>
    <col min="4364" max="4364" width="11.28515625" style="304" customWidth="1"/>
    <col min="4365" max="4365" width="9.7109375" style="304" customWidth="1"/>
    <col min="4366" max="4366" width="11.28515625" style="304" customWidth="1"/>
    <col min="4367" max="4367" width="13.42578125" style="304" customWidth="1"/>
    <col min="4368" max="4608" width="30.140625" style="304"/>
    <col min="4609" max="4609" width="27.7109375" style="304" customWidth="1"/>
    <col min="4610" max="4619" width="12.42578125" style="304" customWidth="1"/>
    <col min="4620" max="4620" width="11.28515625" style="304" customWidth="1"/>
    <col min="4621" max="4621" width="9.7109375" style="304" customWidth="1"/>
    <col min="4622" max="4622" width="11.28515625" style="304" customWidth="1"/>
    <col min="4623" max="4623" width="13.42578125" style="304" customWidth="1"/>
    <col min="4624" max="4864" width="30.140625" style="304"/>
    <col min="4865" max="4865" width="27.7109375" style="304" customWidth="1"/>
    <col min="4866" max="4875" width="12.42578125" style="304" customWidth="1"/>
    <col min="4876" max="4876" width="11.28515625" style="304" customWidth="1"/>
    <col min="4877" max="4877" width="9.7109375" style="304" customWidth="1"/>
    <col min="4878" max="4878" width="11.28515625" style="304" customWidth="1"/>
    <col min="4879" max="4879" width="13.42578125" style="304" customWidth="1"/>
    <col min="4880" max="5120" width="30.140625" style="304"/>
    <col min="5121" max="5121" width="27.7109375" style="304" customWidth="1"/>
    <col min="5122" max="5131" width="12.42578125" style="304" customWidth="1"/>
    <col min="5132" max="5132" width="11.28515625" style="304" customWidth="1"/>
    <col min="5133" max="5133" width="9.7109375" style="304" customWidth="1"/>
    <col min="5134" max="5134" width="11.28515625" style="304" customWidth="1"/>
    <col min="5135" max="5135" width="13.42578125" style="304" customWidth="1"/>
    <col min="5136" max="5376" width="30.140625" style="304"/>
    <col min="5377" max="5377" width="27.7109375" style="304" customWidth="1"/>
    <col min="5378" max="5387" width="12.42578125" style="304" customWidth="1"/>
    <col min="5388" max="5388" width="11.28515625" style="304" customWidth="1"/>
    <col min="5389" max="5389" width="9.7109375" style="304" customWidth="1"/>
    <col min="5390" max="5390" width="11.28515625" style="304" customWidth="1"/>
    <col min="5391" max="5391" width="13.42578125" style="304" customWidth="1"/>
    <col min="5392" max="5632" width="30.140625" style="304"/>
    <col min="5633" max="5633" width="27.7109375" style="304" customWidth="1"/>
    <col min="5634" max="5643" width="12.42578125" style="304" customWidth="1"/>
    <col min="5644" max="5644" width="11.28515625" style="304" customWidth="1"/>
    <col min="5645" max="5645" width="9.7109375" style="304" customWidth="1"/>
    <col min="5646" max="5646" width="11.28515625" style="304" customWidth="1"/>
    <col min="5647" max="5647" width="13.42578125" style="304" customWidth="1"/>
    <col min="5648" max="5888" width="30.140625" style="304"/>
    <col min="5889" max="5889" width="27.7109375" style="304" customWidth="1"/>
    <col min="5890" max="5899" width="12.42578125" style="304" customWidth="1"/>
    <col min="5900" max="5900" width="11.28515625" style="304" customWidth="1"/>
    <col min="5901" max="5901" width="9.7109375" style="304" customWidth="1"/>
    <col min="5902" max="5902" width="11.28515625" style="304" customWidth="1"/>
    <col min="5903" max="5903" width="13.42578125" style="304" customWidth="1"/>
    <col min="5904" max="6144" width="30.140625" style="304"/>
    <col min="6145" max="6145" width="27.7109375" style="304" customWidth="1"/>
    <col min="6146" max="6155" width="12.42578125" style="304" customWidth="1"/>
    <col min="6156" max="6156" width="11.28515625" style="304" customWidth="1"/>
    <col min="6157" max="6157" width="9.7109375" style="304" customWidth="1"/>
    <col min="6158" max="6158" width="11.28515625" style="304" customWidth="1"/>
    <col min="6159" max="6159" width="13.42578125" style="304" customWidth="1"/>
    <col min="6160" max="6400" width="30.140625" style="304"/>
    <col min="6401" max="6401" width="27.7109375" style="304" customWidth="1"/>
    <col min="6402" max="6411" width="12.42578125" style="304" customWidth="1"/>
    <col min="6412" max="6412" width="11.28515625" style="304" customWidth="1"/>
    <col min="6413" max="6413" width="9.7109375" style="304" customWidth="1"/>
    <col min="6414" max="6414" width="11.28515625" style="304" customWidth="1"/>
    <col min="6415" max="6415" width="13.42578125" style="304" customWidth="1"/>
    <col min="6416" max="6656" width="30.140625" style="304"/>
    <col min="6657" max="6657" width="27.7109375" style="304" customWidth="1"/>
    <col min="6658" max="6667" width="12.42578125" style="304" customWidth="1"/>
    <col min="6668" max="6668" width="11.28515625" style="304" customWidth="1"/>
    <col min="6669" max="6669" width="9.7109375" style="304" customWidth="1"/>
    <col min="6670" max="6670" width="11.28515625" style="304" customWidth="1"/>
    <col min="6671" max="6671" width="13.42578125" style="304" customWidth="1"/>
    <col min="6672" max="6912" width="30.140625" style="304"/>
    <col min="6913" max="6913" width="27.7109375" style="304" customWidth="1"/>
    <col min="6914" max="6923" width="12.42578125" style="304" customWidth="1"/>
    <col min="6924" max="6924" width="11.28515625" style="304" customWidth="1"/>
    <col min="6925" max="6925" width="9.7109375" style="304" customWidth="1"/>
    <col min="6926" max="6926" width="11.28515625" style="304" customWidth="1"/>
    <col min="6927" max="6927" width="13.42578125" style="304" customWidth="1"/>
    <col min="6928" max="7168" width="30.140625" style="304"/>
    <col min="7169" max="7169" width="27.7109375" style="304" customWidth="1"/>
    <col min="7170" max="7179" width="12.42578125" style="304" customWidth="1"/>
    <col min="7180" max="7180" width="11.28515625" style="304" customWidth="1"/>
    <col min="7181" max="7181" width="9.7109375" style="304" customWidth="1"/>
    <col min="7182" max="7182" width="11.28515625" style="304" customWidth="1"/>
    <col min="7183" max="7183" width="13.42578125" style="304" customWidth="1"/>
    <col min="7184" max="7424" width="30.140625" style="304"/>
    <col min="7425" max="7425" width="27.7109375" style="304" customWidth="1"/>
    <col min="7426" max="7435" width="12.42578125" style="304" customWidth="1"/>
    <col min="7436" max="7436" width="11.28515625" style="304" customWidth="1"/>
    <col min="7437" max="7437" width="9.7109375" style="304" customWidth="1"/>
    <col min="7438" max="7438" width="11.28515625" style="304" customWidth="1"/>
    <col min="7439" max="7439" width="13.42578125" style="304" customWidth="1"/>
    <col min="7440" max="7680" width="30.140625" style="304"/>
    <col min="7681" max="7681" width="27.7109375" style="304" customWidth="1"/>
    <col min="7682" max="7691" width="12.42578125" style="304" customWidth="1"/>
    <col min="7692" max="7692" width="11.28515625" style="304" customWidth="1"/>
    <col min="7693" max="7693" width="9.7109375" style="304" customWidth="1"/>
    <col min="7694" max="7694" width="11.28515625" style="304" customWidth="1"/>
    <col min="7695" max="7695" width="13.42578125" style="304" customWidth="1"/>
    <col min="7696" max="7936" width="30.140625" style="304"/>
    <col min="7937" max="7937" width="27.7109375" style="304" customWidth="1"/>
    <col min="7938" max="7947" width="12.42578125" style="304" customWidth="1"/>
    <col min="7948" max="7948" width="11.28515625" style="304" customWidth="1"/>
    <col min="7949" max="7949" width="9.7109375" style="304" customWidth="1"/>
    <col min="7950" max="7950" width="11.28515625" style="304" customWidth="1"/>
    <col min="7951" max="7951" width="13.42578125" style="304" customWidth="1"/>
    <col min="7952" max="8192" width="30.140625" style="304"/>
    <col min="8193" max="8193" width="27.7109375" style="304" customWidth="1"/>
    <col min="8194" max="8203" width="12.42578125" style="304" customWidth="1"/>
    <col min="8204" max="8204" width="11.28515625" style="304" customWidth="1"/>
    <col min="8205" max="8205" width="9.7109375" style="304" customWidth="1"/>
    <col min="8206" max="8206" width="11.28515625" style="304" customWidth="1"/>
    <col min="8207" max="8207" width="13.42578125" style="304" customWidth="1"/>
    <col min="8208" max="8448" width="30.140625" style="304"/>
    <col min="8449" max="8449" width="27.7109375" style="304" customWidth="1"/>
    <col min="8450" max="8459" width="12.42578125" style="304" customWidth="1"/>
    <col min="8460" max="8460" width="11.28515625" style="304" customWidth="1"/>
    <col min="8461" max="8461" width="9.7109375" style="304" customWidth="1"/>
    <col min="8462" max="8462" width="11.28515625" style="304" customWidth="1"/>
    <col min="8463" max="8463" width="13.42578125" style="304" customWidth="1"/>
    <col min="8464" max="8704" width="30.140625" style="304"/>
    <col min="8705" max="8705" width="27.7109375" style="304" customWidth="1"/>
    <col min="8706" max="8715" width="12.42578125" style="304" customWidth="1"/>
    <col min="8716" max="8716" width="11.28515625" style="304" customWidth="1"/>
    <col min="8717" max="8717" width="9.7109375" style="304" customWidth="1"/>
    <col min="8718" max="8718" width="11.28515625" style="304" customWidth="1"/>
    <col min="8719" max="8719" width="13.42578125" style="304" customWidth="1"/>
    <col min="8720" max="8960" width="30.140625" style="304"/>
    <col min="8961" max="8961" width="27.7109375" style="304" customWidth="1"/>
    <col min="8962" max="8971" width="12.42578125" style="304" customWidth="1"/>
    <col min="8972" max="8972" width="11.28515625" style="304" customWidth="1"/>
    <col min="8973" max="8973" width="9.7109375" style="304" customWidth="1"/>
    <col min="8974" max="8974" width="11.28515625" style="304" customWidth="1"/>
    <col min="8975" max="8975" width="13.42578125" style="304" customWidth="1"/>
    <col min="8976" max="9216" width="30.140625" style="304"/>
    <col min="9217" max="9217" width="27.7109375" style="304" customWidth="1"/>
    <col min="9218" max="9227" width="12.42578125" style="304" customWidth="1"/>
    <col min="9228" max="9228" width="11.28515625" style="304" customWidth="1"/>
    <col min="9229" max="9229" width="9.7109375" style="304" customWidth="1"/>
    <col min="9230" max="9230" width="11.28515625" style="304" customWidth="1"/>
    <col min="9231" max="9231" width="13.42578125" style="304" customWidth="1"/>
    <col min="9232" max="9472" width="30.140625" style="304"/>
    <col min="9473" max="9473" width="27.7109375" style="304" customWidth="1"/>
    <col min="9474" max="9483" width="12.42578125" style="304" customWidth="1"/>
    <col min="9484" max="9484" width="11.28515625" style="304" customWidth="1"/>
    <col min="9485" max="9485" width="9.7109375" style="304" customWidth="1"/>
    <col min="9486" max="9486" width="11.28515625" style="304" customWidth="1"/>
    <col min="9487" max="9487" width="13.42578125" style="304" customWidth="1"/>
    <col min="9488" max="9728" width="30.140625" style="304"/>
    <col min="9729" max="9729" width="27.7109375" style="304" customWidth="1"/>
    <col min="9730" max="9739" width="12.42578125" style="304" customWidth="1"/>
    <col min="9740" max="9740" width="11.28515625" style="304" customWidth="1"/>
    <col min="9741" max="9741" width="9.7109375" style="304" customWidth="1"/>
    <col min="9742" max="9742" width="11.28515625" style="304" customWidth="1"/>
    <col min="9743" max="9743" width="13.42578125" style="304" customWidth="1"/>
    <col min="9744" max="9984" width="30.140625" style="304"/>
    <col min="9985" max="9985" width="27.7109375" style="304" customWidth="1"/>
    <col min="9986" max="9995" width="12.42578125" style="304" customWidth="1"/>
    <col min="9996" max="9996" width="11.28515625" style="304" customWidth="1"/>
    <col min="9997" max="9997" width="9.7109375" style="304" customWidth="1"/>
    <col min="9998" max="9998" width="11.28515625" style="304" customWidth="1"/>
    <col min="9999" max="9999" width="13.42578125" style="304" customWidth="1"/>
    <col min="10000" max="10240" width="30.140625" style="304"/>
    <col min="10241" max="10241" width="27.7109375" style="304" customWidth="1"/>
    <col min="10242" max="10251" width="12.42578125" style="304" customWidth="1"/>
    <col min="10252" max="10252" width="11.28515625" style="304" customWidth="1"/>
    <col min="10253" max="10253" width="9.7109375" style="304" customWidth="1"/>
    <col min="10254" max="10254" width="11.28515625" style="304" customWidth="1"/>
    <col min="10255" max="10255" width="13.42578125" style="304" customWidth="1"/>
    <col min="10256" max="10496" width="30.140625" style="304"/>
    <col min="10497" max="10497" width="27.7109375" style="304" customWidth="1"/>
    <col min="10498" max="10507" width="12.42578125" style="304" customWidth="1"/>
    <col min="10508" max="10508" width="11.28515625" style="304" customWidth="1"/>
    <col min="10509" max="10509" width="9.7109375" style="304" customWidth="1"/>
    <col min="10510" max="10510" width="11.28515625" style="304" customWidth="1"/>
    <col min="10511" max="10511" width="13.42578125" style="304" customWidth="1"/>
    <col min="10512" max="10752" width="30.140625" style="304"/>
    <col min="10753" max="10753" width="27.7109375" style="304" customWidth="1"/>
    <col min="10754" max="10763" width="12.42578125" style="304" customWidth="1"/>
    <col min="10764" max="10764" width="11.28515625" style="304" customWidth="1"/>
    <col min="10765" max="10765" width="9.7109375" style="304" customWidth="1"/>
    <col min="10766" max="10766" width="11.28515625" style="304" customWidth="1"/>
    <col min="10767" max="10767" width="13.42578125" style="304" customWidth="1"/>
    <col min="10768" max="11008" width="30.140625" style="304"/>
    <col min="11009" max="11009" width="27.7109375" style="304" customWidth="1"/>
    <col min="11010" max="11019" width="12.42578125" style="304" customWidth="1"/>
    <col min="11020" max="11020" width="11.28515625" style="304" customWidth="1"/>
    <col min="11021" max="11021" width="9.7109375" style="304" customWidth="1"/>
    <col min="11022" max="11022" width="11.28515625" style="304" customWidth="1"/>
    <col min="11023" max="11023" width="13.42578125" style="304" customWidth="1"/>
    <col min="11024" max="11264" width="30.140625" style="304"/>
    <col min="11265" max="11265" width="27.7109375" style="304" customWidth="1"/>
    <col min="11266" max="11275" width="12.42578125" style="304" customWidth="1"/>
    <col min="11276" max="11276" width="11.28515625" style="304" customWidth="1"/>
    <col min="11277" max="11277" width="9.7109375" style="304" customWidth="1"/>
    <col min="11278" max="11278" width="11.28515625" style="304" customWidth="1"/>
    <col min="11279" max="11279" width="13.42578125" style="304" customWidth="1"/>
    <col min="11280" max="11520" width="30.140625" style="304"/>
    <col min="11521" max="11521" width="27.7109375" style="304" customWidth="1"/>
    <col min="11522" max="11531" width="12.42578125" style="304" customWidth="1"/>
    <col min="11532" max="11532" width="11.28515625" style="304" customWidth="1"/>
    <col min="11533" max="11533" width="9.7109375" style="304" customWidth="1"/>
    <col min="11534" max="11534" width="11.28515625" style="304" customWidth="1"/>
    <col min="11535" max="11535" width="13.42578125" style="304" customWidth="1"/>
    <col min="11536" max="11776" width="30.140625" style="304"/>
    <col min="11777" max="11777" width="27.7109375" style="304" customWidth="1"/>
    <col min="11778" max="11787" width="12.42578125" style="304" customWidth="1"/>
    <col min="11788" max="11788" width="11.28515625" style="304" customWidth="1"/>
    <col min="11789" max="11789" width="9.7109375" style="304" customWidth="1"/>
    <col min="11790" max="11790" width="11.28515625" style="304" customWidth="1"/>
    <col min="11791" max="11791" width="13.42578125" style="304" customWidth="1"/>
    <col min="11792" max="12032" width="30.140625" style="304"/>
    <col min="12033" max="12033" width="27.7109375" style="304" customWidth="1"/>
    <col min="12034" max="12043" width="12.42578125" style="304" customWidth="1"/>
    <col min="12044" max="12044" width="11.28515625" style="304" customWidth="1"/>
    <col min="12045" max="12045" width="9.7109375" style="304" customWidth="1"/>
    <col min="12046" max="12046" width="11.28515625" style="304" customWidth="1"/>
    <col min="12047" max="12047" width="13.42578125" style="304" customWidth="1"/>
    <col min="12048" max="12288" width="30.140625" style="304"/>
    <col min="12289" max="12289" width="27.7109375" style="304" customWidth="1"/>
    <col min="12290" max="12299" width="12.42578125" style="304" customWidth="1"/>
    <col min="12300" max="12300" width="11.28515625" style="304" customWidth="1"/>
    <col min="12301" max="12301" width="9.7109375" style="304" customWidth="1"/>
    <col min="12302" max="12302" width="11.28515625" style="304" customWidth="1"/>
    <col min="12303" max="12303" width="13.42578125" style="304" customWidth="1"/>
    <col min="12304" max="12544" width="30.140625" style="304"/>
    <col min="12545" max="12545" width="27.7109375" style="304" customWidth="1"/>
    <col min="12546" max="12555" width="12.42578125" style="304" customWidth="1"/>
    <col min="12556" max="12556" width="11.28515625" style="304" customWidth="1"/>
    <col min="12557" max="12557" width="9.7109375" style="304" customWidth="1"/>
    <col min="12558" max="12558" width="11.28515625" style="304" customWidth="1"/>
    <col min="12559" max="12559" width="13.42578125" style="304" customWidth="1"/>
    <col min="12560" max="12800" width="30.140625" style="304"/>
    <col min="12801" max="12801" width="27.7109375" style="304" customWidth="1"/>
    <col min="12802" max="12811" width="12.42578125" style="304" customWidth="1"/>
    <col min="12812" max="12812" width="11.28515625" style="304" customWidth="1"/>
    <col min="12813" max="12813" width="9.7109375" style="304" customWidth="1"/>
    <col min="12814" max="12814" width="11.28515625" style="304" customWidth="1"/>
    <col min="12815" max="12815" width="13.42578125" style="304" customWidth="1"/>
    <col min="12816" max="13056" width="30.140625" style="304"/>
    <col min="13057" max="13057" width="27.7109375" style="304" customWidth="1"/>
    <col min="13058" max="13067" width="12.42578125" style="304" customWidth="1"/>
    <col min="13068" max="13068" width="11.28515625" style="304" customWidth="1"/>
    <col min="13069" max="13069" width="9.7109375" style="304" customWidth="1"/>
    <col min="13070" max="13070" width="11.28515625" style="304" customWidth="1"/>
    <col min="13071" max="13071" width="13.42578125" style="304" customWidth="1"/>
    <col min="13072" max="13312" width="30.140625" style="304"/>
    <col min="13313" max="13313" width="27.7109375" style="304" customWidth="1"/>
    <col min="13314" max="13323" width="12.42578125" style="304" customWidth="1"/>
    <col min="13324" max="13324" width="11.28515625" style="304" customWidth="1"/>
    <col min="13325" max="13325" width="9.7109375" style="304" customWidth="1"/>
    <col min="13326" max="13326" width="11.28515625" style="304" customWidth="1"/>
    <col min="13327" max="13327" width="13.42578125" style="304" customWidth="1"/>
    <col min="13328" max="13568" width="30.140625" style="304"/>
    <col min="13569" max="13569" width="27.7109375" style="304" customWidth="1"/>
    <col min="13570" max="13579" width="12.42578125" style="304" customWidth="1"/>
    <col min="13580" max="13580" width="11.28515625" style="304" customWidth="1"/>
    <col min="13581" max="13581" width="9.7109375" style="304" customWidth="1"/>
    <col min="13582" max="13582" width="11.28515625" style="304" customWidth="1"/>
    <col min="13583" max="13583" width="13.42578125" style="304" customWidth="1"/>
    <col min="13584" max="13824" width="30.140625" style="304"/>
    <col min="13825" max="13825" width="27.7109375" style="304" customWidth="1"/>
    <col min="13826" max="13835" width="12.42578125" style="304" customWidth="1"/>
    <col min="13836" max="13836" width="11.28515625" style="304" customWidth="1"/>
    <col min="13837" max="13837" width="9.7109375" style="304" customWidth="1"/>
    <col min="13838" max="13838" width="11.28515625" style="304" customWidth="1"/>
    <col min="13839" max="13839" width="13.42578125" style="304" customWidth="1"/>
    <col min="13840" max="14080" width="30.140625" style="304"/>
    <col min="14081" max="14081" width="27.7109375" style="304" customWidth="1"/>
    <col min="14082" max="14091" width="12.42578125" style="304" customWidth="1"/>
    <col min="14092" max="14092" width="11.28515625" style="304" customWidth="1"/>
    <col min="14093" max="14093" width="9.7109375" style="304" customWidth="1"/>
    <col min="14094" max="14094" width="11.28515625" style="304" customWidth="1"/>
    <col min="14095" max="14095" width="13.42578125" style="304" customWidth="1"/>
    <col min="14096" max="14336" width="30.140625" style="304"/>
    <col min="14337" max="14337" width="27.7109375" style="304" customWidth="1"/>
    <col min="14338" max="14347" width="12.42578125" style="304" customWidth="1"/>
    <col min="14348" max="14348" width="11.28515625" style="304" customWidth="1"/>
    <col min="14349" max="14349" width="9.7109375" style="304" customWidth="1"/>
    <col min="14350" max="14350" width="11.28515625" style="304" customWidth="1"/>
    <col min="14351" max="14351" width="13.42578125" style="304" customWidth="1"/>
    <col min="14352" max="14592" width="30.140625" style="304"/>
    <col min="14593" max="14593" width="27.7109375" style="304" customWidth="1"/>
    <col min="14594" max="14603" width="12.42578125" style="304" customWidth="1"/>
    <col min="14604" max="14604" width="11.28515625" style="304" customWidth="1"/>
    <col min="14605" max="14605" width="9.7109375" style="304" customWidth="1"/>
    <col min="14606" max="14606" width="11.28515625" style="304" customWidth="1"/>
    <col min="14607" max="14607" width="13.42578125" style="304" customWidth="1"/>
    <col min="14608" max="14848" width="30.140625" style="304"/>
    <col min="14849" max="14849" width="27.7109375" style="304" customWidth="1"/>
    <col min="14850" max="14859" width="12.42578125" style="304" customWidth="1"/>
    <col min="14860" max="14860" width="11.28515625" style="304" customWidth="1"/>
    <col min="14861" max="14861" width="9.7109375" style="304" customWidth="1"/>
    <col min="14862" max="14862" width="11.28515625" style="304" customWidth="1"/>
    <col min="14863" max="14863" width="13.42578125" style="304" customWidth="1"/>
    <col min="14864" max="15104" width="30.140625" style="304"/>
    <col min="15105" max="15105" width="27.7109375" style="304" customWidth="1"/>
    <col min="15106" max="15115" width="12.42578125" style="304" customWidth="1"/>
    <col min="15116" max="15116" width="11.28515625" style="304" customWidth="1"/>
    <col min="15117" max="15117" width="9.7109375" style="304" customWidth="1"/>
    <col min="15118" max="15118" width="11.28515625" style="304" customWidth="1"/>
    <col min="15119" max="15119" width="13.42578125" style="304" customWidth="1"/>
    <col min="15120" max="15360" width="30.140625" style="304"/>
    <col min="15361" max="15361" width="27.7109375" style="304" customWidth="1"/>
    <col min="15362" max="15371" width="12.42578125" style="304" customWidth="1"/>
    <col min="15372" max="15372" width="11.28515625" style="304" customWidth="1"/>
    <col min="15373" max="15373" width="9.7109375" style="304" customWidth="1"/>
    <col min="15374" max="15374" width="11.28515625" style="304" customWidth="1"/>
    <col min="15375" max="15375" width="13.42578125" style="304" customWidth="1"/>
    <col min="15376" max="15616" width="30.140625" style="304"/>
    <col min="15617" max="15617" width="27.7109375" style="304" customWidth="1"/>
    <col min="15618" max="15627" width="12.42578125" style="304" customWidth="1"/>
    <col min="15628" max="15628" width="11.28515625" style="304" customWidth="1"/>
    <col min="15629" max="15629" width="9.7109375" style="304" customWidth="1"/>
    <col min="15630" max="15630" width="11.28515625" style="304" customWidth="1"/>
    <col min="15631" max="15631" width="13.42578125" style="304" customWidth="1"/>
    <col min="15632" max="15872" width="30.140625" style="304"/>
    <col min="15873" max="15873" width="27.7109375" style="304" customWidth="1"/>
    <col min="15874" max="15883" width="12.42578125" style="304" customWidth="1"/>
    <col min="15884" max="15884" width="11.28515625" style="304" customWidth="1"/>
    <col min="15885" max="15885" width="9.7109375" style="304" customWidth="1"/>
    <col min="15886" max="15886" width="11.28515625" style="304" customWidth="1"/>
    <col min="15887" max="15887" width="13.42578125" style="304" customWidth="1"/>
    <col min="15888" max="16128" width="30.140625" style="304"/>
    <col min="16129" max="16129" width="27.7109375" style="304" customWidth="1"/>
    <col min="16130" max="16139" width="12.42578125" style="304" customWidth="1"/>
    <col min="16140" max="16140" width="11.28515625" style="304" customWidth="1"/>
    <col min="16141" max="16141" width="9.7109375" style="304" customWidth="1"/>
    <col min="16142" max="16142" width="11.28515625" style="304" customWidth="1"/>
    <col min="16143" max="16143" width="13.42578125" style="304" customWidth="1"/>
    <col min="16144" max="16384" width="30.140625" style="304"/>
  </cols>
  <sheetData>
    <row r="1" spans="1:14" s="303" customFormat="1" ht="16.5">
      <c r="A1" s="793" t="s">
        <v>600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</row>
    <row r="2" spans="1:14" s="303" customFormat="1" ht="16.5">
      <c r="A2" s="793" t="s">
        <v>269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</row>
    <row r="3" spans="1:14">
      <c r="A3" s="304" t="s">
        <v>272</v>
      </c>
      <c r="B3" s="794" t="s">
        <v>602</v>
      </c>
      <c r="C3" s="794"/>
      <c r="D3" s="794"/>
      <c r="E3" s="794"/>
      <c r="F3" s="304" t="s">
        <v>603</v>
      </c>
      <c r="H3" s="794" t="s">
        <v>604</v>
      </c>
      <c r="I3" s="794"/>
      <c r="J3" s="304" t="s">
        <v>32</v>
      </c>
      <c r="K3" s="305">
        <v>5261.9920000000002</v>
      </c>
      <c r="L3" s="304" t="s">
        <v>86</v>
      </c>
      <c r="N3" s="305">
        <v>708</v>
      </c>
    </row>
    <row r="4" spans="1:14" ht="15">
      <c r="A4" s="462" t="s">
        <v>585</v>
      </c>
    </row>
    <row r="5" spans="1:14" ht="31.5" customHeight="1">
      <c r="A5" s="304" t="s">
        <v>347</v>
      </c>
      <c r="B5" s="795" t="s">
        <v>605</v>
      </c>
      <c r="C5" s="796"/>
      <c r="D5" s="796"/>
      <c r="E5" s="797"/>
      <c r="F5" s="304" t="s">
        <v>520</v>
      </c>
      <c r="H5" s="794" t="s">
        <v>633</v>
      </c>
      <c r="I5" s="794"/>
      <c r="J5" s="794"/>
    </row>
    <row r="7" spans="1:14" ht="23.25" customHeight="1">
      <c r="A7" s="801" t="s">
        <v>607</v>
      </c>
      <c r="B7" s="802" t="s">
        <v>608</v>
      </c>
      <c r="C7" s="803"/>
      <c r="D7" s="803"/>
      <c r="E7" s="804"/>
      <c r="F7" s="801" t="s">
        <v>609</v>
      </c>
      <c r="G7" s="801"/>
      <c r="H7" s="802" t="s">
        <v>634</v>
      </c>
      <c r="I7" s="803"/>
      <c r="J7" s="803"/>
      <c r="K7" s="804"/>
    </row>
    <row r="8" spans="1:14" ht="29.25" customHeight="1">
      <c r="A8" s="801"/>
      <c r="B8" s="805"/>
      <c r="C8" s="806"/>
      <c r="D8" s="806"/>
      <c r="E8" s="807"/>
      <c r="F8" s="801"/>
      <c r="G8" s="801"/>
      <c r="H8" s="805"/>
      <c r="I8" s="806"/>
      <c r="J8" s="806"/>
      <c r="K8" s="807"/>
    </row>
    <row r="10" spans="1:14" s="303" customFormat="1">
      <c r="A10" s="303" t="s">
        <v>611</v>
      </c>
      <c r="B10" s="306">
        <v>36</v>
      </c>
      <c r="C10" s="808" t="s">
        <v>612</v>
      </c>
      <c r="D10" s="801"/>
      <c r="E10" s="801"/>
      <c r="F10" s="306">
        <v>33</v>
      </c>
      <c r="G10" s="303" t="s">
        <v>163</v>
      </c>
      <c r="H10" s="306">
        <v>102</v>
      </c>
      <c r="I10" s="303" t="s">
        <v>160</v>
      </c>
      <c r="J10" s="306">
        <v>10</v>
      </c>
      <c r="K10" s="303" t="s">
        <v>158</v>
      </c>
      <c r="L10" s="306">
        <v>102</v>
      </c>
    </row>
    <row r="11" spans="1:14" s="303" customFormat="1"/>
    <row r="12" spans="1:14" s="307" customFormat="1" ht="12.75" customHeight="1">
      <c r="A12" s="303" t="s">
        <v>39</v>
      </c>
      <c r="B12" s="303" t="s">
        <v>40</v>
      </c>
      <c r="C12" s="306">
        <v>1128</v>
      </c>
      <c r="D12" s="306" t="s">
        <v>41</v>
      </c>
      <c r="E12" s="306">
        <v>275</v>
      </c>
      <c r="F12" s="306" t="s">
        <v>42</v>
      </c>
      <c r="G12" s="306">
        <v>108</v>
      </c>
      <c r="H12" s="306" t="s">
        <v>64</v>
      </c>
      <c r="I12" s="306">
        <v>1511</v>
      </c>
      <c r="J12" s="306" t="s">
        <v>43</v>
      </c>
      <c r="K12" s="306">
        <v>166</v>
      </c>
      <c r="L12" s="809" t="s">
        <v>557</v>
      </c>
      <c r="M12" s="810"/>
      <c r="N12" s="306">
        <v>76</v>
      </c>
    </row>
    <row r="13" spans="1:14" s="307" customFormat="1">
      <c r="A13" s="303" t="s">
        <v>45</v>
      </c>
      <c r="B13" s="303" t="s">
        <v>46</v>
      </c>
      <c r="C13" s="306">
        <v>2659</v>
      </c>
      <c r="D13" s="303" t="s">
        <v>47</v>
      </c>
      <c r="E13" s="306">
        <v>632</v>
      </c>
      <c r="F13" s="303" t="s">
        <v>48</v>
      </c>
      <c r="G13" s="306">
        <v>76</v>
      </c>
      <c r="H13" s="303" t="s">
        <v>77</v>
      </c>
      <c r="I13" s="306">
        <v>3367</v>
      </c>
      <c r="J13" s="303"/>
      <c r="K13" s="303"/>
      <c r="L13" s="303"/>
      <c r="M13" s="303"/>
      <c r="N13" s="303"/>
    </row>
    <row r="14" spans="1:14" s="307" customFormat="1">
      <c r="A14" s="303"/>
      <c r="B14" s="303" t="s">
        <v>49</v>
      </c>
      <c r="C14" s="306">
        <v>2724</v>
      </c>
      <c r="D14" s="303" t="s">
        <v>50</v>
      </c>
      <c r="E14" s="306">
        <v>646</v>
      </c>
      <c r="F14" s="303" t="s">
        <v>51</v>
      </c>
      <c r="G14" s="306">
        <v>157</v>
      </c>
      <c r="H14" s="303" t="s">
        <v>76</v>
      </c>
      <c r="I14" s="306">
        <v>3527</v>
      </c>
      <c r="J14" s="303"/>
      <c r="K14" s="303"/>
      <c r="L14" s="303"/>
      <c r="M14" s="303"/>
      <c r="N14" s="303"/>
    </row>
    <row r="15" spans="1:14" s="307" customFormat="1">
      <c r="A15" s="303"/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</row>
    <row r="16" spans="1:14" s="303" customFormat="1">
      <c r="A16" s="308" t="s">
        <v>52</v>
      </c>
    </row>
    <row r="17" spans="1:14" s="303" customFormat="1"/>
    <row r="18" spans="1:14" s="303" customFormat="1">
      <c r="A18" s="811" t="s">
        <v>53</v>
      </c>
      <c r="B18" s="811" t="s">
        <v>54</v>
      </c>
      <c r="C18" s="811" t="s">
        <v>55</v>
      </c>
      <c r="D18" s="811" t="s">
        <v>157</v>
      </c>
      <c r="E18" s="811" t="s">
        <v>164</v>
      </c>
      <c r="F18" s="798" t="s">
        <v>613</v>
      </c>
      <c r="G18" s="799"/>
      <c r="H18" s="799"/>
      <c r="I18" s="799"/>
      <c r="J18" s="799"/>
      <c r="K18" s="799"/>
      <c r="L18" s="799"/>
      <c r="M18" s="799"/>
      <c r="N18" s="800"/>
    </row>
    <row r="19" spans="1:14" s="303" customFormat="1">
      <c r="A19" s="812"/>
      <c r="B19" s="812"/>
      <c r="C19" s="812"/>
      <c r="D19" s="812"/>
      <c r="E19" s="812"/>
      <c r="F19" s="309" t="s">
        <v>105</v>
      </c>
      <c r="G19" s="309" t="s">
        <v>106</v>
      </c>
      <c r="H19" s="309" t="s">
        <v>107</v>
      </c>
      <c r="I19" s="309" t="s">
        <v>108</v>
      </c>
      <c r="J19" s="309" t="s">
        <v>109</v>
      </c>
      <c r="K19" s="309" t="s">
        <v>110</v>
      </c>
      <c r="L19" s="309" t="s">
        <v>111</v>
      </c>
      <c r="M19" s="309" t="s">
        <v>64</v>
      </c>
      <c r="N19" s="309" t="s">
        <v>65</v>
      </c>
    </row>
    <row r="20" spans="1:14" s="303" customFormat="1" ht="25.5">
      <c r="A20" s="306" t="s">
        <v>614</v>
      </c>
      <c r="B20" s="227">
        <v>500</v>
      </c>
      <c r="C20" s="306" t="s">
        <v>300</v>
      </c>
      <c r="D20" s="310">
        <v>26.30996</v>
      </c>
      <c r="E20" s="306">
        <v>17.579999999999998</v>
      </c>
      <c r="F20" s="310">
        <v>0.22</v>
      </c>
      <c r="G20" s="310">
        <v>10.6</v>
      </c>
      <c r="H20" s="310">
        <v>8.16</v>
      </c>
      <c r="I20" s="310">
        <v>0.9</v>
      </c>
      <c r="J20" s="310">
        <v>0</v>
      </c>
      <c r="K20" s="310">
        <v>0</v>
      </c>
      <c r="L20" s="310">
        <v>0</v>
      </c>
      <c r="M20" s="311">
        <v>19.88</v>
      </c>
      <c r="N20" s="310">
        <v>113.0830489192264</v>
      </c>
    </row>
    <row r="21" spans="1:14" s="303" customFormat="1">
      <c r="A21" s="306" t="s">
        <v>338</v>
      </c>
      <c r="B21" s="227">
        <v>360</v>
      </c>
      <c r="C21" s="306" t="s">
        <v>300</v>
      </c>
      <c r="D21" s="310">
        <v>18.943171200000002</v>
      </c>
      <c r="E21" s="306">
        <v>6.94</v>
      </c>
      <c r="F21" s="310">
        <v>0</v>
      </c>
      <c r="G21" s="310">
        <v>0.41</v>
      </c>
      <c r="H21" s="310">
        <v>0</v>
      </c>
      <c r="I21" s="310">
        <v>0.96</v>
      </c>
      <c r="J21" s="310">
        <v>0</v>
      </c>
      <c r="K21" s="310">
        <v>0</v>
      </c>
      <c r="L21" s="310">
        <v>0</v>
      </c>
      <c r="M21" s="311">
        <v>1.3699999999999999</v>
      </c>
      <c r="N21" s="310">
        <v>19.740634005763685</v>
      </c>
    </row>
    <row r="22" spans="1:14" s="317" customFormat="1">
      <c r="A22" s="312" t="s">
        <v>615</v>
      </c>
      <c r="B22" s="313"/>
      <c r="C22" s="314"/>
      <c r="D22" s="315"/>
      <c r="E22" s="314"/>
      <c r="F22" s="315"/>
      <c r="G22" s="315"/>
      <c r="H22" s="315"/>
      <c r="I22" s="315"/>
      <c r="J22" s="315"/>
      <c r="K22" s="315"/>
      <c r="L22" s="315"/>
      <c r="M22" s="316"/>
      <c r="N22" s="315"/>
    </row>
    <row r="23" spans="1:14" s="303" customFormat="1">
      <c r="A23" s="306" t="s">
        <v>321</v>
      </c>
      <c r="B23" s="227">
        <v>3.6</v>
      </c>
      <c r="C23" s="306" t="s">
        <v>242</v>
      </c>
      <c r="D23" s="310">
        <v>25.2</v>
      </c>
      <c r="E23" s="306">
        <v>13.51</v>
      </c>
      <c r="F23" s="310">
        <v>0.65</v>
      </c>
      <c r="G23" s="310">
        <v>3.5</v>
      </c>
      <c r="H23" s="310">
        <v>3.52</v>
      </c>
      <c r="I23" s="310">
        <v>4.3499999999999996</v>
      </c>
      <c r="J23" s="310">
        <v>0</v>
      </c>
      <c r="K23" s="310">
        <v>0</v>
      </c>
      <c r="L23" s="310">
        <v>0</v>
      </c>
      <c r="M23" s="311">
        <v>12.02</v>
      </c>
      <c r="N23" s="310">
        <v>88.971132494448554</v>
      </c>
    </row>
    <row r="24" spans="1:14" s="303" customFormat="1">
      <c r="A24" s="306" t="s">
        <v>246</v>
      </c>
      <c r="B24" s="227">
        <v>1.44</v>
      </c>
      <c r="C24" s="306" t="s">
        <v>242</v>
      </c>
      <c r="D24" s="310">
        <v>10.08</v>
      </c>
      <c r="E24" s="306">
        <v>4.5599999999999996</v>
      </c>
      <c r="F24" s="310">
        <v>0.25</v>
      </c>
      <c r="G24" s="310">
        <v>1.4</v>
      </c>
      <c r="H24" s="310">
        <v>1.41</v>
      </c>
      <c r="I24" s="310">
        <v>1.34</v>
      </c>
      <c r="J24" s="310">
        <v>0</v>
      </c>
      <c r="K24" s="310">
        <v>0</v>
      </c>
      <c r="L24" s="310">
        <v>0</v>
      </c>
      <c r="M24" s="311">
        <v>4.3999999999999995</v>
      </c>
      <c r="N24" s="310">
        <v>96.491228070175438</v>
      </c>
    </row>
    <row r="25" spans="1:14" s="303" customFormat="1" ht="25.5">
      <c r="A25" s="306" t="s">
        <v>322</v>
      </c>
      <c r="B25" s="227">
        <v>2.4</v>
      </c>
      <c r="C25" s="306" t="s">
        <v>242</v>
      </c>
      <c r="D25" s="310">
        <v>16.8</v>
      </c>
      <c r="E25" s="306">
        <v>7.52</v>
      </c>
      <c r="F25" s="310">
        <v>0.31</v>
      </c>
      <c r="G25" s="310">
        <v>2.39</v>
      </c>
      <c r="H25" s="310">
        <v>2.37</v>
      </c>
      <c r="I25" s="310">
        <v>2.4</v>
      </c>
      <c r="J25" s="310">
        <v>0</v>
      </c>
      <c r="K25" s="310">
        <v>0</v>
      </c>
      <c r="L25" s="310">
        <v>0</v>
      </c>
      <c r="M25" s="311">
        <v>7.4700000000000006</v>
      </c>
      <c r="N25" s="310">
        <v>99.335106382978736</v>
      </c>
    </row>
    <row r="26" spans="1:14" s="303" customFormat="1">
      <c r="A26" s="306" t="s">
        <v>305</v>
      </c>
      <c r="B26" s="227">
        <v>0.24</v>
      </c>
      <c r="C26" s="306" t="s">
        <v>242</v>
      </c>
      <c r="D26" s="310">
        <v>1.68</v>
      </c>
      <c r="E26" s="306">
        <v>0.78</v>
      </c>
      <c r="F26" s="310">
        <v>0.06</v>
      </c>
      <c r="G26" s="310">
        <v>0.24</v>
      </c>
      <c r="H26" s="310">
        <v>0.24</v>
      </c>
      <c r="I26" s="310">
        <v>0.24</v>
      </c>
      <c r="J26" s="310">
        <v>0</v>
      </c>
      <c r="K26" s="310">
        <v>0</v>
      </c>
      <c r="L26" s="310">
        <v>0</v>
      </c>
      <c r="M26" s="311">
        <v>0.78</v>
      </c>
      <c r="N26" s="310">
        <v>100</v>
      </c>
    </row>
    <row r="27" spans="1:14" s="303" customFormat="1">
      <c r="A27" s="306" t="s">
        <v>306</v>
      </c>
      <c r="B27" s="227">
        <v>0.36</v>
      </c>
      <c r="C27" s="306" t="s">
        <v>242</v>
      </c>
      <c r="D27" s="310">
        <v>2.52</v>
      </c>
      <c r="E27" s="306">
        <v>1.1599999999999999</v>
      </c>
      <c r="F27" s="310">
        <v>0.09</v>
      </c>
      <c r="G27" s="310">
        <v>0.35</v>
      </c>
      <c r="H27" s="310">
        <v>0.36</v>
      </c>
      <c r="I27" s="310">
        <v>0.36</v>
      </c>
      <c r="J27" s="310">
        <v>0</v>
      </c>
      <c r="K27" s="310">
        <v>0</v>
      </c>
      <c r="L27" s="310">
        <v>0</v>
      </c>
      <c r="M27" s="311">
        <v>1.1599999999999999</v>
      </c>
      <c r="N27" s="310">
        <v>100</v>
      </c>
    </row>
    <row r="28" spans="1:14" s="303" customFormat="1">
      <c r="A28" s="306" t="s">
        <v>165</v>
      </c>
      <c r="B28" s="227">
        <v>0.2</v>
      </c>
      <c r="C28" s="306" t="s">
        <v>68</v>
      </c>
      <c r="D28" s="310">
        <v>1.4000000000000001</v>
      </c>
      <c r="E28" s="306">
        <v>0.2</v>
      </c>
      <c r="F28" s="310">
        <v>0</v>
      </c>
      <c r="G28" s="310">
        <v>0</v>
      </c>
      <c r="H28" s="310">
        <v>0</v>
      </c>
      <c r="I28" s="310">
        <v>0</v>
      </c>
      <c r="J28" s="310">
        <v>0</v>
      </c>
      <c r="K28" s="310">
        <v>0</v>
      </c>
      <c r="L28" s="310">
        <v>0</v>
      </c>
      <c r="M28" s="311">
        <v>0</v>
      </c>
      <c r="N28" s="310">
        <v>0</v>
      </c>
    </row>
    <row r="29" spans="1:14" s="303" customFormat="1">
      <c r="A29" s="311" t="s">
        <v>64</v>
      </c>
      <c r="B29" s="306"/>
      <c r="C29" s="306"/>
      <c r="D29" s="318">
        <v>102.93313120000001</v>
      </c>
      <c r="E29" s="318">
        <v>52.25</v>
      </c>
      <c r="F29" s="318">
        <v>1.5800000000000003</v>
      </c>
      <c r="G29" s="318">
        <v>18.89</v>
      </c>
      <c r="H29" s="318">
        <v>16.060000000000002</v>
      </c>
      <c r="I29" s="318">
        <v>10.549999999999999</v>
      </c>
      <c r="J29" s="318">
        <v>0</v>
      </c>
      <c r="K29" s="318">
        <v>0</v>
      </c>
      <c r="L29" s="318">
        <v>0</v>
      </c>
      <c r="M29" s="311">
        <v>47.08</v>
      </c>
      <c r="N29" s="306"/>
    </row>
    <row r="30" spans="1:14" s="303" customFormat="1">
      <c r="A30" s="307"/>
    </row>
  </sheetData>
  <mergeCells count="18">
    <mergeCell ref="F18:N18"/>
    <mergeCell ref="A7:A8"/>
    <mergeCell ref="B7:E8"/>
    <mergeCell ref="F7:G8"/>
    <mergeCell ref="H7:K8"/>
    <mergeCell ref="C10:E10"/>
    <mergeCell ref="L12:M12"/>
    <mergeCell ref="A18:A19"/>
    <mergeCell ref="B18:B19"/>
    <mergeCell ref="C18:C19"/>
    <mergeCell ref="D18:D19"/>
    <mergeCell ref="E18:E19"/>
    <mergeCell ref="A1:N1"/>
    <mergeCell ref="A2:N2"/>
    <mergeCell ref="B3:E3"/>
    <mergeCell ref="H3:I3"/>
    <mergeCell ref="B5:E5"/>
    <mergeCell ref="H5:J5"/>
  </mergeCells>
  <hyperlinks>
    <hyperlink ref="A4" location="'Fact Sheet of VDC'!A1" display="&lt;&lt;Back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30"/>
  <sheetViews>
    <sheetView workbookViewId="0">
      <selection activeCell="A4" sqref="A4"/>
    </sheetView>
  </sheetViews>
  <sheetFormatPr defaultRowHeight="12.75"/>
  <cols>
    <col min="1" max="1" width="27.28515625" style="263" customWidth="1"/>
    <col min="2" max="2" width="14.140625" style="263" customWidth="1"/>
    <col min="3" max="3" width="10.85546875" style="263" customWidth="1"/>
    <col min="4" max="4" width="9.140625" style="263"/>
    <col min="5" max="5" width="11.140625" style="263" customWidth="1"/>
    <col min="6" max="6" width="9.140625" style="263"/>
    <col min="7" max="7" width="11.140625" style="263" customWidth="1"/>
    <col min="8" max="8" width="12.5703125" style="263" customWidth="1"/>
    <col min="9" max="13" width="9.140625" style="263"/>
    <col min="14" max="14" width="10.5703125" style="263" customWidth="1"/>
    <col min="15" max="16384" width="9.140625" style="263"/>
  </cols>
  <sheetData>
    <row r="1" spans="1:14" s="262" customFormat="1" ht="16.5">
      <c r="A1" s="813" t="s">
        <v>600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</row>
    <row r="2" spans="1:14" s="262" customFormat="1" ht="16.5">
      <c r="A2" s="813" t="s">
        <v>601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</row>
    <row r="3" spans="1:14">
      <c r="A3" s="263" t="s">
        <v>272</v>
      </c>
      <c r="B3" s="814" t="s">
        <v>602</v>
      </c>
      <c r="C3" s="814"/>
      <c r="D3" s="814"/>
      <c r="E3" s="814"/>
      <c r="F3" s="263" t="s">
        <v>603</v>
      </c>
      <c r="H3" s="814" t="s">
        <v>604</v>
      </c>
      <c r="I3" s="814"/>
      <c r="J3" s="263" t="s">
        <v>32</v>
      </c>
      <c r="K3" s="264">
        <v>5160</v>
      </c>
      <c r="L3" s="263" t="s">
        <v>86</v>
      </c>
      <c r="N3" s="265">
        <v>775.5</v>
      </c>
    </row>
    <row r="4" spans="1:14" ht="15">
      <c r="A4" s="462" t="s">
        <v>585</v>
      </c>
    </row>
    <row r="5" spans="1:14">
      <c r="A5" s="263" t="s">
        <v>347</v>
      </c>
      <c r="B5" s="815" t="s">
        <v>605</v>
      </c>
      <c r="C5" s="816"/>
      <c r="D5" s="816"/>
      <c r="E5" s="817"/>
      <c r="F5" s="263" t="s">
        <v>520</v>
      </c>
      <c r="H5" s="814" t="s">
        <v>606</v>
      </c>
      <c r="I5" s="814"/>
      <c r="J5" s="814"/>
    </row>
    <row r="7" spans="1:14">
      <c r="A7" s="821" t="s">
        <v>607</v>
      </c>
      <c r="B7" s="822" t="s">
        <v>608</v>
      </c>
      <c r="C7" s="823"/>
      <c r="D7" s="823"/>
      <c r="E7" s="824"/>
      <c r="F7" s="821" t="s">
        <v>609</v>
      </c>
      <c r="G7" s="821"/>
      <c r="H7" s="822" t="s">
        <v>610</v>
      </c>
      <c r="I7" s="823"/>
      <c r="J7" s="823"/>
      <c r="K7" s="824"/>
    </row>
    <row r="8" spans="1:14">
      <c r="A8" s="821"/>
      <c r="B8" s="825"/>
      <c r="C8" s="826"/>
      <c r="D8" s="826"/>
      <c r="E8" s="827"/>
      <c r="F8" s="821"/>
      <c r="G8" s="821"/>
      <c r="H8" s="825"/>
      <c r="I8" s="826"/>
      <c r="J8" s="826"/>
      <c r="K8" s="827"/>
    </row>
    <row r="10" spans="1:14" s="262" customFormat="1">
      <c r="A10" s="262" t="s">
        <v>611</v>
      </c>
      <c r="B10" s="266">
        <v>32</v>
      </c>
      <c r="C10" s="828" t="s">
        <v>612</v>
      </c>
      <c r="D10" s="821"/>
      <c r="E10" s="821"/>
      <c r="F10" s="267">
        <v>23</v>
      </c>
      <c r="G10" s="262" t="s">
        <v>163</v>
      </c>
      <c r="H10" s="266"/>
      <c r="I10" s="262" t="s">
        <v>160</v>
      </c>
      <c r="J10" s="266">
        <v>0</v>
      </c>
      <c r="K10" s="262" t="s">
        <v>158</v>
      </c>
      <c r="L10" s="266">
        <v>32</v>
      </c>
    </row>
    <row r="11" spans="1:14" s="262" customFormat="1"/>
    <row r="12" spans="1:14" s="268" customFormat="1" ht="12.75" customHeight="1">
      <c r="A12" s="262" t="s">
        <v>39</v>
      </c>
      <c r="B12" s="262" t="s">
        <v>40</v>
      </c>
      <c r="C12" s="266">
        <v>623</v>
      </c>
      <c r="D12" s="266" t="s">
        <v>41</v>
      </c>
      <c r="E12" s="266">
        <v>131</v>
      </c>
      <c r="F12" s="266" t="s">
        <v>42</v>
      </c>
      <c r="G12" s="266">
        <v>82</v>
      </c>
      <c r="H12" s="266" t="s">
        <v>64</v>
      </c>
      <c r="I12" s="266">
        <v>836</v>
      </c>
      <c r="J12" s="266" t="s">
        <v>43</v>
      </c>
      <c r="K12" s="266">
        <v>232</v>
      </c>
      <c r="L12" s="767" t="s">
        <v>119</v>
      </c>
      <c r="M12" s="769"/>
      <c r="N12" s="266">
        <v>121</v>
      </c>
    </row>
    <row r="13" spans="1:14" s="268" customFormat="1">
      <c r="A13" s="262" t="s">
        <v>45</v>
      </c>
      <c r="B13" s="262" t="s">
        <v>46</v>
      </c>
      <c r="C13" s="269">
        <v>1435</v>
      </c>
      <c r="D13" s="262" t="s">
        <v>47</v>
      </c>
      <c r="E13" s="269">
        <v>483</v>
      </c>
      <c r="F13" s="262" t="s">
        <v>48</v>
      </c>
      <c r="G13" s="269">
        <v>168</v>
      </c>
      <c r="H13" s="262" t="s">
        <v>77</v>
      </c>
      <c r="I13" s="269">
        <v>2086</v>
      </c>
      <c r="J13" s="262"/>
      <c r="K13" s="262"/>
      <c r="L13" s="262"/>
      <c r="M13" s="262"/>
      <c r="N13" s="262"/>
    </row>
    <row r="14" spans="1:14" s="268" customFormat="1" ht="30" customHeight="1">
      <c r="A14" s="262"/>
      <c r="B14" s="262" t="s">
        <v>49</v>
      </c>
      <c r="C14" s="266">
        <v>1395</v>
      </c>
      <c r="D14" s="266" t="s">
        <v>50</v>
      </c>
      <c r="E14" s="266">
        <v>444</v>
      </c>
      <c r="F14" s="266" t="s">
        <v>51</v>
      </c>
      <c r="G14" s="266">
        <v>154</v>
      </c>
      <c r="H14" s="266" t="s">
        <v>76</v>
      </c>
      <c r="I14" s="266">
        <v>1993</v>
      </c>
      <c r="J14" s="262"/>
      <c r="K14" s="262"/>
      <c r="L14" s="262"/>
      <c r="M14" s="262"/>
      <c r="N14" s="262"/>
    </row>
    <row r="15" spans="1:14" s="268" customFormat="1">
      <c r="A15" s="262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</row>
    <row r="16" spans="1:14" s="262" customFormat="1">
      <c r="A16" s="270" t="s">
        <v>52</v>
      </c>
    </row>
    <row r="17" spans="1:14" s="262" customFormat="1"/>
    <row r="18" spans="1:14" s="262" customFormat="1">
      <c r="A18" s="829" t="s">
        <v>53</v>
      </c>
      <c r="B18" s="829" t="s">
        <v>54</v>
      </c>
      <c r="C18" s="829" t="s">
        <v>55</v>
      </c>
      <c r="D18" s="829" t="s">
        <v>157</v>
      </c>
      <c r="E18" s="829" t="s">
        <v>164</v>
      </c>
      <c r="F18" s="818" t="s">
        <v>613</v>
      </c>
      <c r="G18" s="819"/>
      <c r="H18" s="819"/>
      <c r="I18" s="819"/>
      <c r="J18" s="819"/>
      <c r="K18" s="819"/>
      <c r="L18" s="819"/>
      <c r="M18" s="819"/>
      <c r="N18" s="820"/>
    </row>
    <row r="19" spans="1:14" s="262" customFormat="1">
      <c r="A19" s="830"/>
      <c r="B19" s="830"/>
      <c r="C19" s="830"/>
      <c r="D19" s="830"/>
      <c r="E19" s="830"/>
      <c r="F19" s="271" t="s">
        <v>105</v>
      </c>
      <c r="G19" s="271" t="s">
        <v>106</v>
      </c>
      <c r="H19" s="271" t="s">
        <v>107</v>
      </c>
      <c r="I19" s="271" t="s">
        <v>108</v>
      </c>
      <c r="J19" s="271" t="s">
        <v>109</v>
      </c>
      <c r="K19" s="271" t="s">
        <v>110</v>
      </c>
      <c r="L19" s="271" t="s">
        <v>111</v>
      </c>
      <c r="M19" s="271" t="s">
        <v>64</v>
      </c>
      <c r="N19" s="271" t="s">
        <v>65</v>
      </c>
    </row>
    <row r="20" spans="1:14" s="262" customFormat="1" ht="25.5">
      <c r="A20" s="266" t="s">
        <v>614</v>
      </c>
      <c r="B20" s="272">
        <v>500</v>
      </c>
      <c r="C20" s="266" t="s">
        <v>300</v>
      </c>
      <c r="D20" s="273">
        <v>25.8</v>
      </c>
      <c r="E20" s="274">
        <v>1.5</v>
      </c>
      <c r="F20" s="274">
        <v>0</v>
      </c>
      <c r="G20" s="274">
        <v>0</v>
      </c>
      <c r="H20" s="274">
        <v>0</v>
      </c>
      <c r="I20" s="274">
        <v>0.56000000000000005</v>
      </c>
      <c r="J20" s="274">
        <v>0</v>
      </c>
      <c r="K20" s="274">
        <v>0</v>
      </c>
      <c r="L20" s="274">
        <v>0</v>
      </c>
      <c r="M20" s="275">
        <v>0.56000000000000005</v>
      </c>
      <c r="N20" s="276">
        <v>37.333333333333336</v>
      </c>
    </row>
    <row r="21" spans="1:14" s="262" customFormat="1">
      <c r="A21" s="266" t="s">
        <v>338</v>
      </c>
      <c r="B21" s="272">
        <v>360</v>
      </c>
      <c r="C21" s="266" t="s">
        <v>300</v>
      </c>
      <c r="D21" s="273">
        <v>18.576000000000001</v>
      </c>
      <c r="E21" s="274">
        <v>0</v>
      </c>
      <c r="F21" s="274">
        <v>0</v>
      </c>
      <c r="G21" s="274">
        <v>0</v>
      </c>
      <c r="H21" s="274">
        <v>0</v>
      </c>
      <c r="I21" s="274">
        <v>0</v>
      </c>
      <c r="J21" s="274">
        <v>0</v>
      </c>
      <c r="K21" s="274">
        <v>0</v>
      </c>
      <c r="L21" s="274">
        <v>0</v>
      </c>
      <c r="M21" s="275">
        <v>0</v>
      </c>
      <c r="N21" s="276"/>
    </row>
    <row r="22" spans="1:14" s="262" customFormat="1" ht="18" customHeight="1">
      <c r="A22" s="277" t="s">
        <v>615</v>
      </c>
      <c r="B22" s="272"/>
      <c r="C22" s="266"/>
      <c r="D22" s="273"/>
      <c r="E22" s="274"/>
      <c r="F22" s="274"/>
      <c r="G22" s="274"/>
      <c r="H22" s="274"/>
      <c r="I22" s="274"/>
      <c r="J22" s="274"/>
      <c r="K22" s="274"/>
      <c r="L22" s="274"/>
      <c r="M22" s="275"/>
      <c r="N22" s="276"/>
    </row>
    <row r="23" spans="1:14" s="262" customFormat="1" ht="16.5" customHeight="1">
      <c r="A23" s="278" t="s">
        <v>321</v>
      </c>
      <c r="B23" s="272">
        <v>3.6</v>
      </c>
      <c r="C23" s="266" t="s">
        <v>242</v>
      </c>
      <c r="D23" s="273">
        <v>15.3</v>
      </c>
      <c r="E23" s="274">
        <v>3.7800000000000002</v>
      </c>
      <c r="F23" s="274">
        <v>0</v>
      </c>
      <c r="G23" s="274">
        <v>0</v>
      </c>
      <c r="H23" s="274">
        <v>0</v>
      </c>
      <c r="I23" s="274">
        <v>2.0299999999999998</v>
      </c>
      <c r="J23" s="274">
        <v>0</v>
      </c>
      <c r="K23" s="274">
        <v>0</v>
      </c>
      <c r="L23" s="274">
        <v>0</v>
      </c>
      <c r="M23" s="275">
        <v>2.0299999999999998</v>
      </c>
      <c r="N23" s="276">
        <v>53.703703703703695</v>
      </c>
    </row>
    <row r="24" spans="1:14" s="262" customFormat="1" ht="25.5">
      <c r="A24" s="278" t="s">
        <v>246</v>
      </c>
      <c r="B24" s="272">
        <v>1.44</v>
      </c>
      <c r="C24" s="266" t="s">
        <v>242</v>
      </c>
      <c r="D24" s="273">
        <v>6.12</v>
      </c>
      <c r="E24" s="274">
        <v>0.54</v>
      </c>
      <c r="F24" s="274">
        <v>0</v>
      </c>
      <c r="G24" s="274">
        <v>0</v>
      </c>
      <c r="H24" s="274">
        <v>0</v>
      </c>
      <c r="I24" s="274">
        <v>0.34</v>
      </c>
      <c r="J24" s="274">
        <v>0</v>
      </c>
      <c r="K24" s="274">
        <v>0</v>
      </c>
      <c r="L24" s="274">
        <v>0</v>
      </c>
      <c r="M24" s="275">
        <v>0.34</v>
      </c>
      <c r="N24" s="276">
        <v>62.962962962962962</v>
      </c>
    </row>
    <row r="25" spans="1:14" s="262" customFormat="1" ht="25.5">
      <c r="A25" s="278" t="s">
        <v>322</v>
      </c>
      <c r="B25" s="272">
        <v>2.4</v>
      </c>
      <c r="C25" s="266" t="s">
        <v>242</v>
      </c>
      <c r="D25" s="273">
        <v>10.199999999999999</v>
      </c>
      <c r="E25" s="274">
        <v>1.2</v>
      </c>
      <c r="F25" s="274">
        <v>0</v>
      </c>
      <c r="G25" s="274">
        <v>0</v>
      </c>
      <c r="H25" s="274">
        <v>0</v>
      </c>
      <c r="I25" s="274">
        <v>0.5</v>
      </c>
      <c r="J25" s="274">
        <v>0</v>
      </c>
      <c r="K25" s="274">
        <v>0</v>
      </c>
      <c r="L25" s="274">
        <v>0</v>
      </c>
      <c r="M25" s="275">
        <v>0.5</v>
      </c>
      <c r="N25" s="276">
        <v>41.666666666666671</v>
      </c>
    </row>
    <row r="26" spans="1:14" s="262" customFormat="1">
      <c r="A26" s="278" t="s">
        <v>305</v>
      </c>
      <c r="B26" s="272">
        <v>0.24</v>
      </c>
      <c r="C26" s="266" t="s">
        <v>242</v>
      </c>
      <c r="D26" s="273">
        <v>1.02</v>
      </c>
      <c r="E26" s="274">
        <v>0.12</v>
      </c>
      <c r="F26" s="274">
        <v>0</v>
      </c>
      <c r="G26" s="274">
        <v>0</v>
      </c>
      <c r="H26" s="274">
        <v>0</v>
      </c>
      <c r="I26" s="274">
        <v>0.14000000000000001</v>
      </c>
      <c r="J26" s="274">
        <v>0</v>
      </c>
      <c r="K26" s="274">
        <v>0</v>
      </c>
      <c r="L26" s="274">
        <v>0</v>
      </c>
      <c r="M26" s="275">
        <v>0.14000000000000001</v>
      </c>
      <c r="N26" s="276">
        <v>116.66666666666667</v>
      </c>
    </row>
    <row r="27" spans="1:14" s="262" customFormat="1">
      <c r="A27" s="278" t="s">
        <v>306</v>
      </c>
      <c r="B27" s="272">
        <v>0.36</v>
      </c>
      <c r="C27" s="266" t="s">
        <v>242</v>
      </c>
      <c r="D27" s="273">
        <v>1.53</v>
      </c>
      <c r="E27" s="274">
        <v>0.18</v>
      </c>
      <c r="F27" s="274">
        <v>0</v>
      </c>
      <c r="G27" s="274">
        <v>0</v>
      </c>
      <c r="H27" s="274">
        <v>0</v>
      </c>
      <c r="I27" s="274">
        <v>0.21</v>
      </c>
      <c r="J27" s="274">
        <v>0</v>
      </c>
      <c r="K27" s="274">
        <v>0</v>
      </c>
      <c r="L27" s="274">
        <v>0</v>
      </c>
      <c r="M27" s="275">
        <v>0.21</v>
      </c>
      <c r="N27" s="276">
        <v>116.66666666666667</v>
      </c>
    </row>
    <row r="28" spans="1:14" s="262" customFormat="1">
      <c r="A28" s="278" t="s">
        <v>165</v>
      </c>
      <c r="B28" s="272">
        <v>0.2</v>
      </c>
      <c r="C28" s="266" t="s">
        <v>68</v>
      </c>
      <c r="D28" s="273">
        <v>0</v>
      </c>
      <c r="E28" s="274">
        <v>0</v>
      </c>
      <c r="F28" s="274">
        <v>0</v>
      </c>
      <c r="G28" s="274">
        <v>0</v>
      </c>
      <c r="H28" s="274">
        <v>0</v>
      </c>
      <c r="I28" s="274">
        <v>0</v>
      </c>
      <c r="J28" s="274">
        <v>0</v>
      </c>
      <c r="K28" s="274">
        <v>0</v>
      </c>
      <c r="L28" s="274">
        <v>0</v>
      </c>
      <c r="M28" s="275">
        <v>0</v>
      </c>
      <c r="N28" s="276"/>
    </row>
    <row r="29" spans="1:14" s="262" customFormat="1">
      <c r="A29" s="279" t="s">
        <v>64</v>
      </c>
      <c r="B29" s="266"/>
      <c r="C29" s="266"/>
      <c r="D29" s="275">
        <v>78.546000000000006</v>
      </c>
      <c r="E29" s="280">
        <v>7.32</v>
      </c>
      <c r="F29" s="280">
        <v>0</v>
      </c>
      <c r="G29" s="280">
        <v>0</v>
      </c>
      <c r="H29" s="280">
        <v>0</v>
      </c>
      <c r="I29" s="280">
        <v>3.78</v>
      </c>
      <c r="J29" s="280">
        <v>0</v>
      </c>
      <c r="K29" s="280">
        <v>0</v>
      </c>
      <c r="L29" s="280">
        <v>0</v>
      </c>
      <c r="M29" s="275">
        <v>3.78</v>
      </c>
      <c r="N29" s="266"/>
    </row>
    <row r="30" spans="1:14" s="262" customFormat="1">
      <c r="A30" s="268"/>
      <c r="E30" s="281"/>
      <c r="F30" s="281"/>
      <c r="G30" s="281"/>
      <c r="H30" s="281"/>
      <c r="I30" s="281"/>
      <c r="J30" s="281"/>
      <c r="K30" s="281"/>
      <c r="L30" s="281"/>
      <c r="M30" s="281"/>
    </row>
  </sheetData>
  <mergeCells count="18">
    <mergeCell ref="F18:N18"/>
    <mergeCell ref="A7:A8"/>
    <mergeCell ref="B7:E8"/>
    <mergeCell ref="F7:G8"/>
    <mergeCell ref="H7:K8"/>
    <mergeCell ref="C10:E10"/>
    <mergeCell ref="L12:M12"/>
    <mergeCell ref="A18:A19"/>
    <mergeCell ref="B18:B19"/>
    <mergeCell ref="C18:C19"/>
    <mergeCell ref="D18:D19"/>
    <mergeCell ref="E18:E19"/>
    <mergeCell ref="A1:N1"/>
    <mergeCell ref="A2:N2"/>
    <mergeCell ref="B3:E3"/>
    <mergeCell ref="H3:I3"/>
    <mergeCell ref="B5:E5"/>
    <mergeCell ref="H5:J5"/>
  </mergeCells>
  <hyperlinks>
    <hyperlink ref="A4" location="'Fact Sheet of VDC'!A1" display="&lt;&lt;Back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workbookViewId="0">
      <selection activeCell="A3" sqref="A3:C3"/>
    </sheetView>
  </sheetViews>
  <sheetFormatPr defaultRowHeight="12.75"/>
  <cols>
    <col min="1" max="1" width="39.140625" style="117" customWidth="1"/>
    <col min="2" max="2" width="11.28515625" style="117" customWidth="1"/>
    <col min="3" max="3" width="13.5703125" style="117" customWidth="1"/>
    <col min="4" max="4" width="14" style="117" customWidth="1"/>
    <col min="5" max="5" width="11.140625" style="117" customWidth="1"/>
    <col min="6" max="7" width="15.5703125" style="117" customWidth="1"/>
    <col min="8" max="8" width="14.42578125" style="117" customWidth="1"/>
    <col min="9" max="9" width="11.140625" style="117" customWidth="1"/>
    <col min="10" max="10" width="12.7109375" style="117" customWidth="1"/>
    <col min="11" max="11" width="8.85546875" style="117" customWidth="1"/>
    <col min="12" max="12" width="9.28515625" style="117" customWidth="1"/>
    <col min="13" max="256" width="9.140625" style="117"/>
    <col min="257" max="257" width="39.140625" style="117" customWidth="1"/>
    <col min="258" max="258" width="11.28515625" style="117" customWidth="1"/>
    <col min="259" max="259" width="13.5703125" style="117" customWidth="1"/>
    <col min="260" max="260" width="14" style="117" customWidth="1"/>
    <col min="261" max="261" width="11.140625" style="117" customWidth="1"/>
    <col min="262" max="263" width="15.5703125" style="117" customWidth="1"/>
    <col min="264" max="264" width="14.42578125" style="117" customWidth="1"/>
    <col min="265" max="265" width="11.140625" style="117" customWidth="1"/>
    <col min="266" max="266" width="12.7109375" style="117" customWidth="1"/>
    <col min="267" max="267" width="8.85546875" style="117" customWidth="1"/>
    <col min="268" max="268" width="9.28515625" style="117" customWidth="1"/>
    <col min="269" max="512" width="9.140625" style="117"/>
    <col min="513" max="513" width="39.140625" style="117" customWidth="1"/>
    <col min="514" max="514" width="11.28515625" style="117" customWidth="1"/>
    <col min="515" max="515" width="13.5703125" style="117" customWidth="1"/>
    <col min="516" max="516" width="14" style="117" customWidth="1"/>
    <col min="517" max="517" width="11.140625" style="117" customWidth="1"/>
    <col min="518" max="519" width="15.5703125" style="117" customWidth="1"/>
    <col min="520" max="520" width="14.42578125" style="117" customWidth="1"/>
    <col min="521" max="521" width="11.140625" style="117" customWidth="1"/>
    <col min="522" max="522" width="12.7109375" style="117" customWidth="1"/>
    <col min="523" max="523" width="8.85546875" style="117" customWidth="1"/>
    <col min="524" max="524" width="9.28515625" style="117" customWidth="1"/>
    <col min="525" max="768" width="9.140625" style="117"/>
    <col min="769" max="769" width="39.140625" style="117" customWidth="1"/>
    <col min="770" max="770" width="11.28515625" style="117" customWidth="1"/>
    <col min="771" max="771" width="13.5703125" style="117" customWidth="1"/>
    <col min="772" max="772" width="14" style="117" customWidth="1"/>
    <col min="773" max="773" width="11.140625" style="117" customWidth="1"/>
    <col min="774" max="775" width="15.5703125" style="117" customWidth="1"/>
    <col min="776" max="776" width="14.42578125" style="117" customWidth="1"/>
    <col min="777" max="777" width="11.140625" style="117" customWidth="1"/>
    <col min="778" max="778" width="12.7109375" style="117" customWidth="1"/>
    <col min="779" max="779" width="8.85546875" style="117" customWidth="1"/>
    <col min="780" max="780" width="9.28515625" style="117" customWidth="1"/>
    <col min="781" max="1024" width="9.140625" style="117"/>
    <col min="1025" max="1025" width="39.140625" style="117" customWidth="1"/>
    <col min="1026" max="1026" width="11.28515625" style="117" customWidth="1"/>
    <col min="1027" max="1027" width="13.5703125" style="117" customWidth="1"/>
    <col min="1028" max="1028" width="14" style="117" customWidth="1"/>
    <col min="1029" max="1029" width="11.140625" style="117" customWidth="1"/>
    <col min="1030" max="1031" width="15.5703125" style="117" customWidth="1"/>
    <col min="1032" max="1032" width="14.42578125" style="117" customWidth="1"/>
    <col min="1033" max="1033" width="11.140625" style="117" customWidth="1"/>
    <col min="1034" max="1034" width="12.7109375" style="117" customWidth="1"/>
    <col min="1035" max="1035" width="8.85546875" style="117" customWidth="1"/>
    <col min="1036" max="1036" width="9.28515625" style="117" customWidth="1"/>
    <col min="1037" max="1280" width="9.140625" style="117"/>
    <col min="1281" max="1281" width="39.140625" style="117" customWidth="1"/>
    <col min="1282" max="1282" width="11.28515625" style="117" customWidth="1"/>
    <col min="1283" max="1283" width="13.5703125" style="117" customWidth="1"/>
    <col min="1284" max="1284" width="14" style="117" customWidth="1"/>
    <col min="1285" max="1285" width="11.140625" style="117" customWidth="1"/>
    <col min="1286" max="1287" width="15.5703125" style="117" customWidth="1"/>
    <col min="1288" max="1288" width="14.42578125" style="117" customWidth="1"/>
    <col min="1289" max="1289" width="11.140625" style="117" customWidth="1"/>
    <col min="1290" max="1290" width="12.7109375" style="117" customWidth="1"/>
    <col min="1291" max="1291" width="8.85546875" style="117" customWidth="1"/>
    <col min="1292" max="1292" width="9.28515625" style="117" customWidth="1"/>
    <col min="1293" max="1536" width="9.140625" style="117"/>
    <col min="1537" max="1537" width="39.140625" style="117" customWidth="1"/>
    <col min="1538" max="1538" width="11.28515625" style="117" customWidth="1"/>
    <col min="1539" max="1539" width="13.5703125" style="117" customWidth="1"/>
    <col min="1540" max="1540" width="14" style="117" customWidth="1"/>
    <col min="1541" max="1541" width="11.140625" style="117" customWidth="1"/>
    <col min="1542" max="1543" width="15.5703125" style="117" customWidth="1"/>
    <col min="1544" max="1544" width="14.42578125" style="117" customWidth="1"/>
    <col min="1545" max="1545" width="11.140625" style="117" customWidth="1"/>
    <col min="1546" max="1546" width="12.7109375" style="117" customWidth="1"/>
    <col min="1547" max="1547" width="8.85546875" style="117" customWidth="1"/>
    <col min="1548" max="1548" width="9.28515625" style="117" customWidth="1"/>
    <col min="1549" max="1792" width="9.140625" style="117"/>
    <col min="1793" max="1793" width="39.140625" style="117" customWidth="1"/>
    <col min="1794" max="1794" width="11.28515625" style="117" customWidth="1"/>
    <col min="1795" max="1795" width="13.5703125" style="117" customWidth="1"/>
    <col min="1796" max="1796" width="14" style="117" customWidth="1"/>
    <col min="1797" max="1797" width="11.140625" style="117" customWidth="1"/>
    <col min="1798" max="1799" width="15.5703125" style="117" customWidth="1"/>
    <col min="1800" max="1800" width="14.42578125" style="117" customWidth="1"/>
    <col min="1801" max="1801" width="11.140625" style="117" customWidth="1"/>
    <col min="1802" max="1802" width="12.7109375" style="117" customWidth="1"/>
    <col min="1803" max="1803" width="8.85546875" style="117" customWidth="1"/>
    <col min="1804" max="1804" width="9.28515625" style="117" customWidth="1"/>
    <col min="1805" max="2048" width="9.140625" style="117"/>
    <col min="2049" max="2049" width="39.140625" style="117" customWidth="1"/>
    <col min="2050" max="2050" width="11.28515625" style="117" customWidth="1"/>
    <col min="2051" max="2051" width="13.5703125" style="117" customWidth="1"/>
    <col min="2052" max="2052" width="14" style="117" customWidth="1"/>
    <col min="2053" max="2053" width="11.140625" style="117" customWidth="1"/>
    <col min="2054" max="2055" width="15.5703125" style="117" customWidth="1"/>
    <col min="2056" max="2056" width="14.42578125" style="117" customWidth="1"/>
    <col min="2057" max="2057" width="11.140625" style="117" customWidth="1"/>
    <col min="2058" max="2058" width="12.7109375" style="117" customWidth="1"/>
    <col min="2059" max="2059" width="8.85546875" style="117" customWidth="1"/>
    <col min="2060" max="2060" width="9.28515625" style="117" customWidth="1"/>
    <col min="2061" max="2304" width="9.140625" style="117"/>
    <col min="2305" max="2305" width="39.140625" style="117" customWidth="1"/>
    <col min="2306" max="2306" width="11.28515625" style="117" customWidth="1"/>
    <col min="2307" max="2307" width="13.5703125" style="117" customWidth="1"/>
    <col min="2308" max="2308" width="14" style="117" customWidth="1"/>
    <col min="2309" max="2309" width="11.140625" style="117" customWidth="1"/>
    <col min="2310" max="2311" width="15.5703125" style="117" customWidth="1"/>
    <col min="2312" max="2312" width="14.42578125" style="117" customWidth="1"/>
    <col min="2313" max="2313" width="11.140625" style="117" customWidth="1"/>
    <col min="2314" max="2314" width="12.7109375" style="117" customWidth="1"/>
    <col min="2315" max="2315" width="8.85546875" style="117" customWidth="1"/>
    <col min="2316" max="2316" width="9.28515625" style="117" customWidth="1"/>
    <col min="2317" max="2560" width="9.140625" style="117"/>
    <col min="2561" max="2561" width="39.140625" style="117" customWidth="1"/>
    <col min="2562" max="2562" width="11.28515625" style="117" customWidth="1"/>
    <col min="2563" max="2563" width="13.5703125" style="117" customWidth="1"/>
    <col min="2564" max="2564" width="14" style="117" customWidth="1"/>
    <col min="2565" max="2565" width="11.140625" style="117" customWidth="1"/>
    <col min="2566" max="2567" width="15.5703125" style="117" customWidth="1"/>
    <col min="2568" max="2568" width="14.42578125" style="117" customWidth="1"/>
    <col min="2569" max="2569" width="11.140625" style="117" customWidth="1"/>
    <col min="2570" max="2570" width="12.7109375" style="117" customWidth="1"/>
    <col min="2571" max="2571" width="8.85546875" style="117" customWidth="1"/>
    <col min="2572" max="2572" width="9.28515625" style="117" customWidth="1"/>
    <col min="2573" max="2816" width="9.140625" style="117"/>
    <col min="2817" max="2817" width="39.140625" style="117" customWidth="1"/>
    <col min="2818" max="2818" width="11.28515625" style="117" customWidth="1"/>
    <col min="2819" max="2819" width="13.5703125" style="117" customWidth="1"/>
    <col min="2820" max="2820" width="14" style="117" customWidth="1"/>
    <col min="2821" max="2821" width="11.140625" style="117" customWidth="1"/>
    <col min="2822" max="2823" width="15.5703125" style="117" customWidth="1"/>
    <col min="2824" max="2824" width="14.42578125" style="117" customWidth="1"/>
    <col min="2825" max="2825" width="11.140625" style="117" customWidth="1"/>
    <col min="2826" max="2826" width="12.7109375" style="117" customWidth="1"/>
    <col min="2827" max="2827" width="8.85546875" style="117" customWidth="1"/>
    <col min="2828" max="2828" width="9.28515625" style="117" customWidth="1"/>
    <col min="2829" max="3072" width="9.140625" style="117"/>
    <col min="3073" max="3073" width="39.140625" style="117" customWidth="1"/>
    <col min="3074" max="3074" width="11.28515625" style="117" customWidth="1"/>
    <col min="3075" max="3075" width="13.5703125" style="117" customWidth="1"/>
    <col min="3076" max="3076" width="14" style="117" customWidth="1"/>
    <col min="3077" max="3077" width="11.140625" style="117" customWidth="1"/>
    <col min="3078" max="3079" width="15.5703125" style="117" customWidth="1"/>
    <col min="3080" max="3080" width="14.42578125" style="117" customWidth="1"/>
    <col min="3081" max="3081" width="11.140625" style="117" customWidth="1"/>
    <col min="3082" max="3082" width="12.7109375" style="117" customWidth="1"/>
    <col min="3083" max="3083" width="8.85546875" style="117" customWidth="1"/>
    <col min="3084" max="3084" width="9.28515625" style="117" customWidth="1"/>
    <col min="3085" max="3328" width="9.140625" style="117"/>
    <col min="3329" max="3329" width="39.140625" style="117" customWidth="1"/>
    <col min="3330" max="3330" width="11.28515625" style="117" customWidth="1"/>
    <col min="3331" max="3331" width="13.5703125" style="117" customWidth="1"/>
    <col min="3332" max="3332" width="14" style="117" customWidth="1"/>
    <col min="3333" max="3333" width="11.140625" style="117" customWidth="1"/>
    <col min="3334" max="3335" width="15.5703125" style="117" customWidth="1"/>
    <col min="3336" max="3336" width="14.42578125" style="117" customWidth="1"/>
    <col min="3337" max="3337" width="11.140625" style="117" customWidth="1"/>
    <col min="3338" max="3338" width="12.7109375" style="117" customWidth="1"/>
    <col min="3339" max="3339" width="8.85546875" style="117" customWidth="1"/>
    <col min="3340" max="3340" width="9.28515625" style="117" customWidth="1"/>
    <col min="3341" max="3584" width="9.140625" style="117"/>
    <col min="3585" max="3585" width="39.140625" style="117" customWidth="1"/>
    <col min="3586" max="3586" width="11.28515625" style="117" customWidth="1"/>
    <col min="3587" max="3587" width="13.5703125" style="117" customWidth="1"/>
    <col min="3588" max="3588" width="14" style="117" customWidth="1"/>
    <col min="3589" max="3589" width="11.140625" style="117" customWidth="1"/>
    <col min="3590" max="3591" width="15.5703125" style="117" customWidth="1"/>
    <col min="3592" max="3592" width="14.42578125" style="117" customWidth="1"/>
    <col min="3593" max="3593" width="11.140625" style="117" customWidth="1"/>
    <col min="3594" max="3594" width="12.7109375" style="117" customWidth="1"/>
    <col min="3595" max="3595" width="8.85546875" style="117" customWidth="1"/>
    <col min="3596" max="3596" width="9.28515625" style="117" customWidth="1"/>
    <col min="3597" max="3840" width="9.140625" style="117"/>
    <col min="3841" max="3841" width="39.140625" style="117" customWidth="1"/>
    <col min="3842" max="3842" width="11.28515625" style="117" customWidth="1"/>
    <col min="3843" max="3843" width="13.5703125" style="117" customWidth="1"/>
    <col min="3844" max="3844" width="14" style="117" customWidth="1"/>
    <col min="3845" max="3845" width="11.140625" style="117" customWidth="1"/>
    <col min="3846" max="3847" width="15.5703125" style="117" customWidth="1"/>
    <col min="3848" max="3848" width="14.42578125" style="117" customWidth="1"/>
    <col min="3849" max="3849" width="11.140625" style="117" customWidth="1"/>
    <col min="3850" max="3850" width="12.7109375" style="117" customWidth="1"/>
    <col min="3851" max="3851" width="8.85546875" style="117" customWidth="1"/>
    <col min="3852" max="3852" width="9.28515625" style="117" customWidth="1"/>
    <col min="3853" max="4096" width="9.140625" style="117"/>
    <col min="4097" max="4097" width="39.140625" style="117" customWidth="1"/>
    <col min="4098" max="4098" width="11.28515625" style="117" customWidth="1"/>
    <col min="4099" max="4099" width="13.5703125" style="117" customWidth="1"/>
    <col min="4100" max="4100" width="14" style="117" customWidth="1"/>
    <col min="4101" max="4101" width="11.140625" style="117" customWidth="1"/>
    <col min="4102" max="4103" width="15.5703125" style="117" customWidth="1"/>
    <col min="4104" max="4104" width="14.42578125" style="117" customWidth="1"/>
    <col min="4105" max="4105" width="11.140625" style="117" customWidth="1"/>
    <col min="4106" max="4106" width="12.7109375" style="117" customWidth="1"/>
    <col min="4107" max="4107" width="8.85546875" style="117" customWidth="1"/>
    <col min="4108" max="4108" width="9.28515625" style="117" customWidth="1"/>
    <col min="4109" max="4352" width="9.140625" style="117"/>
    <col min="4353" max="4353" width="39.140625" style="117" customWidth="1"/>
    <col min="4354" max="4354" width="11.28515625" style="117" customWidth="1"/>
    <col min="4355" max="4355" width="13.5703125" style="117" customWidth="1"/>
    <col min="4356" max="4356" width="14" style="117" customWidth="1"/>
    <col min="4357" max="4357" width="11.140625" style="117" customWidth="1"/>
    <col min="4358" max="4359" width="15.5703125" style="117" customWidth="1"/>
    <col min="4360" max="4360" width="14.42578125" style="117" customWidth="1"/>
    <col min="4361" max="4361" width="11.140625" style="117" customWidth="1"/>
    <col min="4362" max="4362" width="12.7109375" style="117" customWidth="1"/>
    <col min="4363" max="4363" width="8.85546875" style="117" customWidth="1"/>
    <col min="4364" max="4364" width="9.28515625" style="117" customWidth="1"/>
    <col min="4365" max="4608" width="9.140625" style="117"/>
    <col min="4609" max="4609" width="39.140625" style="117" customWidth="1"/>
    <col min="4610" max="4610" width="11.28515625" style="117" customWidth="1"/>
    <col min="4611" max="4611" width="13.5703125" style="117" customWidth="1"/>
    <col min="4612" max="4612" width="14" style="117" customWidth="1"/>
    <col min="4613" max="4613" width="11.140625" style="117" customWidth="1"/>
    <col min="4614" max="4615" width="15.5703125" style="117" customWidth="1"/>
    <col min="4616" max="4616" width="14.42578125" style="117" customWidth="1"/>
    <col min="4617" max="4617" width="11.140625" style="117" customWidth="1"/>
    <col min="4618" max="4618" width="12.7109375" style="117" customWidth="1"/>
    <col min="4619" max="4619" width="8.85546875" style="117" customWidth="1"/>
    <col min="4620" max="4620" width="9.28515625" style="117" customWidth="1"/>
    <col min="4621" max="4864" width="9.140625" style="117"/>
    <col min="4865" max="4865" width="39.140625" style="117" customWidth="1"/>
    <col min="4866" max="4866" width="11.28515625" style="117" customWidth="1"/>
    <col min="4867" max="4867" width="13.5703125" style="117" customWidth="1"/>
    <col min="4868" max="4868" width="14" style="117" customWidth="1"/>
    <col min="4869" max="4869" width="11.140625" style="117" customWidth="1"/>
    <col min="4870" max="4871" width="15.5703125" style="117" customWidth="1"/>
    <col min="4872" max="4872" width="14.42578125" style="117" customWidth="1"/>
    <col min="4873" max="4873" width="11.140625" style="117" customWidth="1"/>
    <col min="4874" max="4874" width="12.7109375" style="117" customWidth="1"/>
    <col min="4875" max="4875" width="8.85546875" style="117" customWidth="1"/>
    <col min="4876" max="4876" width="9.28515625" style="117" customWidth="1"/>
    <col min="4877" max="5120" width="9.140625" style="117"/>
    <col min="5121" max="5121" width="39.140625" style="117" customWidth="1"/>
    <col min="5122" max="5122" width="11.28515625" style="117" customWidth="1"/>
    <col min="5123" max="5123" width="13.5703125" style="117" customWidth="1"/>
    <col min="5124" max="5124" width="14" style="117" customWidth="1"/>
    <col min="5125" max="5125" width="11.140625" style="117" customWidth="1"/>
    <col min="5126" max="5127" width="15.5703125" style="117" customWidth="1"/>
    <col min="5128" max="5128" width="14.42578125" style="117" customWidth="1"/>
    <col min="5129" max="5129" width="11.140625" style="117" customWidth="1"/>
    <col min="5130" max="5130" width="12.7109375" style="117" customWidth="1"/>
    <col min="5131" max="5131" width="8.85546875" style="117" customWidth="1"/>
    <col min="5132" max="5132" width="9.28515625" style="117" customWidth="1"/>
    <col min="5133" max="5376" width="9.140625" style="117"/>
    <col min="5377" max="5377" width="39.140625" style="117" customWidth="1"/>
    <col min="5378" max="5378" width="11.28515625" style="117" customWidth="1"/>
    <col min="5379" max="5379" width="13.5703125" style="117" customWidth="1"/>
    <col min="5380" max="5380" width="14" style="117" customWidth="1"/>
    <col min="5381" max="5381" width="11.140625" style="117" customWidth="1"/>
    <col min="5382" max="5383" width="15.5703125" style="117" customWidth="1"/>
    <col min="5384" max="5384" width="14.42578125" style="117" customWidth="1"/>
    <col min="5385" max="5385" width="11.140625" style="117" customWidth="1"/>
    <col min="5386" max="5386" width="12.7109375" style="117" customWidth="1"/>
    <col min="5387" max="5387" width="8.85546875" style="117" customWidth="1"/>
    <col min="5388" max="5388" width="9.28515625" style="117" customWidth="1"/>
    <col min="5389" max="5632" width="9.140625" style="117"/>
    <col min="5633" max="5633" width="39.140625" style="117" customWidth="1"/>
    <col min="5634" max="5634" width="11.28515625" style="117" customWidth="1"/>
    <col min="5635" max="5635" width="13.5703125" style="117" customWidth="1"/>
    <col min="5636" max="5636" width="14" style="117" customWidth="1"/>
    <col min="5637" max="5637" width="11.140625" style="117" customWidth="1"/>
    <col min="5638" max="5639" width="15.5703125" style="117" customWidth="1"/>
    <col min="5640" max="5640" width="14.42578125" style="117" customWidth="1"/>
    <col min="5641" max="5641" width="11.140625" style="117" customWidth="1"/>
    <col min="5642" max="5642" width="12.7109375" style="117" customWidth="1"/>
    <col min="5643" max="5643" width="8.85546875" style="117" customWidth="1"/>
    <col min="5644" max="5644" width="9.28515625" style="117" customWidth="1"/>
    <col min="5645" max="5888" width="9.140625" style="117"/>
    <col min="5889" max="5889" width="39.140625" style="117" customWidth="1"/>
    <col min="5890" max="5890" width="11.28515625" style="117" customWidth="1"/>
    <col min="5891" max="5891" width="13.5703125" style="117" customWidth="1"/>
    <col min="5892" max="5892" width="14" style="117" customWidth="1"/>
    <col min="5893" max="5893" width="11.140625" style="117" customWidth="1"/>
    <col min="5894" max="5895" width="15.5703125" style="117" customWidth="1"/>
    <col min="5896" max="5896" width="14.42578125" style="117" customWidth="1"/>
    <col min="5897" max="5897" width="11.140625" style="117" customWidth="1"/>
    <col min="5898" max="5898" width="12.7109375" style="117" customWidth="1"/>
    <col min="5899" max="5899" width="8.85546875" style="117" customWidth="1"/>
    <col min="5900" max="5900" width="9.28515625" style="117" customWidth="1"/>
    <col min="5901" max="6144" width="9.140625" style="117"/>
    <col min="6145" max="6145" width="39.140625" style="117" customWidth="1"/>
    <col min="6146" max="6146" width="11.28515625" style="117" customWidth="1"/>
    <col min="6147" max="6147" width="13.5703125" style="117" customWidth="1"/>
    <col min="6148" max="6148" width="14" style="117" customWidth="1"/>
    <col min="6149" max="6149" width="11.140625" style="117" customWidth="1"/>
    <col min="6150" max="6151" width="15.5703125" style="117" customWidth="1"/>
    <col min="6152" max="6152" width="14.42578125" style="117" customWidth="1"/>
    <col min="6153" max="6153" width="11.140625" style="117" customWidth="1"/>
    <col min="6154" max="6154" width="12.7109375" style="117" customWidth="1"/>
    <col min="6155" max="6155" width="8.85546875" style="117" customWidth="1"/>
    <col min="6156" max="6156" width="9.28515625" style="117" customWidth="1"/>
    <col min="6157" max="6400" width="9.140625" style="117"/>
    <col min="6401" max="6401" width="39.140625" style="117" customWidth="1"/>
    <col min="6402" max="6402" width="11.28515625" style="117" customWidth="1"/>
    <col min="6403" max="6403" width="13.5703125" style="117" customWidth="1"/>
    <col min="6404" max="6404" width="14" style="117" customWidth="1"/>
    <col min="6405" max="6405" width="11.140625" style="117" customWidth="1"/>
    <col min="6406" max="6407" width="15.5703125" style="117" customWidth="1"/>
    <col min="6408" max="6408" width="14.42578125" style="117" customWidth="1"/>
    <col min="6409" max="6409" width="11.140625" style="117" customWidth="1"/>
    <col min="6410" max="6410" width="12.7109375" style="117" customWidth="1"/>
    <col min="6411" max="6411" width="8.85546875" style="117" customWidth="1"/>
    <col min="6412" max="6412" width="9.28515625" style="117" customWidth="1"/>
    <col min="6413" max="6656" width="9.140625" style="117"/>
    <col min="6657" max="6657" width="39.140625" style="117" customWidth="1"/>
    <col min="6658" max="6658" width="11.28515625" style="117" customWidth="1"/>
    <col min="6659" max="6659" width="13.5703125" style="117" customWidth="1"/>
    <col min="6660" max="6660" width="14" style="117" customWidth="1"/>
    <col min="6661" max="6661" width="11.140625" style="117" customWidth="1"/>
    <col min="6662" max="6663" width="15.5703125" style="117" customWidth="1"/>
    <col min="6664" max="6664" width="14.42578125" style="117" customWidth="1"/>
    <col min="6665" max="6665" width="11.140625" style="117" customWidth="1"/>
    <col min="6666" max="6666" width="12.7109375" style="117" customWidth="1"/>
    <col min="6667" max="6667" width="8.85546875" style="117" customWidth="1"/>
    <col min="6668" max="6668" width="9.28515625" style="117" customWidth="1"/>
    <col min="6669" max="6912" width="9.140625" style="117"/>
    <col min="6913" max="6913" width="39.140625" style="117" customWidth="1"/>
    <col min="6914" max="6914" width="11.28515625" style="117" customWidth="1"/>
    <col min="6915" max="6915" width="13.5703125" style="117" customWidth="1"/>
    <col min="6916" max="6916" width="14" style="117" customWidth="1"/>
    <col min="6917" max="6917" width="11.140625" style="117" customWidth="1"/>
    <col min="6918" max="6919" width="15.5703125" style="117" customWidth="1"/>
    <col min="6920" max="6920" width="14.42578125" style="117" customWidth="1"/>
    <col min="6921" max="6921" width="11.140625" style="117" customWidth="1"/>
    <col min="6922" max="6922" width="12.7109375" style="117" customWidth="1"/>
    <col min="6923" max="6923" width="8.85546875" style="117" customWidth="1"/>
    <col min="6924" max="6924" width="9.28515625" style="117" customWidth="1"/>
    <col min="6925" max="7168" width="9.140625" style="117"/>
    <col min="7169" max="7169" width="39.140625" style="117" customWidth="1"/>
    <col min="7170" max="7170" width="11.28515625" style="117" customWidth="1"/>
    <col min="7171" max="7171" width="13.5703125" style="117" customWidth="1"/>
    <col min="7172" max="7172" width="14" style="117" customWidth="1"/>
    <col min="7173" max="7173" width="11.140625" style="117" customWidth="1"/>
    <col min="7174" max="7175" width="15.5703125" style="117" customWidth="1"/>
    <col min="7176" max="7176" width="14.42578125" style="117" customWidth="1"/>
    <col min="7177" max="7177" width="11.140625" style="117" customWidth="1"/>
    <col min="7178" max="7178" width="12.7109375" style="117" customWidth="1"/>
    <col min="7179" max="7179" width="8.85546875" style="117" customWidth="1"/>
    <col min="7180" max="7180" width="9.28515625" style="117" customWidth="1"/>
    <col min="7181" max="7424" width="9.140625" style="117"/>
    <col min="7425" max="7425" width="39.140625" style="117" customWidth="1"/>
    <col min="7426" max="7426" width="11.28515625" style="117" customWidth="1"/>
    <col min="7427" max="7427" width="13.5703125" style="117" customWidth="1"/>
    <col min="7428" max="7428" width="14" style="117" customWidth="1"/>
    <col min="7429" max="7429" width="11.140625" style="117" customWidth="1"/>
    <col min="7430" max="7431" width="15.5703125" style="117" customWidth="1"/>
    <col min="7432" max="7432" width="14.42578125" style="117" customWidth="1"/>
    <col min="7433" max="7433" width="11.140625" style="117" customWidth="1"/>
    <col min="7434" max="7434" width="12.7109375" style="117" customWidth="1"/>
    <col min="7435" max="7435" width="8.85546875" style="117" customWidth="1"/>
    <col min="7436" max="7436" width="9.28515625" style="117" customWidth="1"/>
    <col min="7437" max="7680" width="9.140625" style="117"/>
    <col min="7681" max="7681" width="39.140625" style="117" customWidth="1"/>
    <col min="7682" max="7682" width="11.28515625" style="117" customWidth="1"/>
    <col min="7683" max="7683" width="13.5703125" style="117" customWidth="1"/>
    <col min="7684" max="7684" width="14" style="117" customWidth="1"/>
    <col min="7685" max="7685" width="11.140625" style="117" customWidth="1"/>
    <col min="7686" max="7687" width="15.5703125" style="117" customWidth="1"/>
    <col min="7688" max="7688" width="14.42578125" style="117" customWidth="1"/>
    <col min="7689" max="7689" width="11.140625" style="117" customWidth="1"/>
    <col min="7690" max="7690" width="12.7109375" style="117" customWidth="1"/>
    <col min="7691" max="7691" width="8.85546875" style="117" customWidth="1"/>
    <col min="7692" max="7692" width="9.28515625" style="117" customWidth="1"/>
    <col min="7693" max="7936" width="9.140625" style="117"/>
    <col min="7937" max="7937" width="39.140625" style="117" customWidth="1"/>
    <col min="7938" max="7938" width="11.28515625" style="117" customWidth="1"/>
    <col min="7939" max="7939" width="13.5703125" style="117" customWidth="1"/>
    <col min="7940" max="7940" width="14" style="117" customWidth="1"/>
    <col min="7941" max="7941" width="11.140625" style="117" customWidth="1"/>
    <col min="7942" max="7943" width="15.5703125" style="117" customWidth="1"/>
    <col min="7944" max="7944" width="14.42578125" style="117" customWidth="1"/>
    <col min="7945" max="7945" width="11.140625" style="117" customWidth="1"/>
    <col min="7946" max="7946" width="12.7109375" style="117" customWidth="1"/>
    <col min="7947" max="7947" width="8.85546875" style="117" customWidth="1"/>
    <col min="7948" max="7948" width="9.28515625" style="117" customWidth="1"/>
    <col min="7949" max="8192" width="9.140625" style="117"/>
    <col min="8193" max="8193" width="39.140625" style="117" customWidth="1"/>
    <col min="8194" max="8194" width="11.28515625" style="117" customWidth="1"/>
    <col min="8195" max="8195" width="13.5703125" style="117" customWidth="1"/>
    <col min="8196" max="8196" width="14" style="117" customWidth="1"/>
    <col min="8197" max="8197" width="11.140625" style="117" customWidth="1"/>
    <col min="8198" max="8199" width="15.5703125" style="117" customWidth="1"/>
    <col min="8200" max="8200" width="14.42578125" style="117" customWidth="1"/>
    <col min="8201" max="8201" width="11.140625" style="117" customWidth="1"/>
    <col min="8202" max="8202" width="12.7109375" style="117" customWidth="1"/>
    <col min="8203" max="8203" width="8.85546875" style="117" customWidth="1"/>
    <col min="8204" max="8204" width="9.28515625" style="117" customWidth="1"/>
    <col min="8205" max="8448" width="9.140625" style="117"/>
    <col min="8449" max="8449" width="39.140625" style="117" customWidth="1"/>
    <col min="8450" max="8450" width="11.28515625" style="117" customWidth="1"/>
    <col min="8451" max="8451" width="13.5703125" style="117" customWidth="1"/>
    <col min="8452" max="8452" width="14" style="117" customWidth="1"/>
    <col min="8453" max="8453" width="11.140625" style="117" customWidth="1"/>
    <col min="8454" max="8455" width="15.5703125" style="117" customWidth="1"/>
    <col min="8456" max="8456" width="14.42578125" style="117" customWidth="1"/>
    <col min="8457" max="8457" width="11.140625" style="117" customWidth="1"/>
    <col min="8458" max="8458" width="12.7109375" style="117" customWidth="1"/>
    <col min="8459" max="8459" width="8.85546875" style="117" customWidth="1"/>
    <col min="8460" max="8460" width="9.28515625" style="117" customWidth="1"/>
    <col min="8461" max="8704" width="9.140625" style="117"/>
    <col min="8705" max="8705" width="39.140625" style="117" customWidth="1"/>
    <col min="8706" max="8706" width="11.28515625" style="117" customWidth="1"/>
    <col min="8707" max="8707" width="13.5703125" style="117" customWidth="1"/>
    <col min="8708" max="8708" width="14" style="117" customWidth="1"/>
    <col min="8709" max="8709" width="11.140625" style="117" customWidth="1"/>
    <col min="8710" max="8711" width="15.5703125" style="117" customWidth="1"/>
    <col min="8712" max="8712" width="14.42578125" style="117" customWidth="1"/>
    <col min="8713" max="8713" width="11.140625" style="117" customWidth="1"/>
    <col min="8714" max="8714" width="12.7109375" style="117" customWidth="1"/>
    <col min="8715" max="8715" width="8.85546875" style="117" customWidth="1"/>
    <col min="8716" max="8716" width="9.28515625" style="117" customWidth="1"/>
    <col min="8717" max="8960" width="9.140625" style="117"/>
    <col min="8961" max="8961" width="39.140625" style="117" customWidth="1"/>
    <col min="8962" max="8962" width="11.28515625" style="117" customWidth="1"/>
    <col min="8963" max="8963" width="13.5703125" style="117" customWidth="1"/>
    <col min="8964" max="8964" width="14" style="117" customWidth="1"/>
    <col min="8965" max="8965" width="11.140625" style="117" customWidth="1"/>
    <col min="8966" max="8967" width="15.5703125" style="117" customWidth="1"/>
    <col min="8968" max="8968" width="14.42578125" style="117" customWidth="1"/>
    <col min="8969" max="8969" width="11.140625" style="117" customWidth="1"/>
    <col min="8970" max="8970" width="12.7109375" style="117" customWidth="1"/>
    <col min="8971" max="8971" width="8.85546875" style="117" customWidth="1"/>
    <col min="8972" max="8972" width="9.28515625" style="117" customWidth="1"/>
    <col min="8973" max="9216" width="9.140625" style="117"/>
    <col min="9217" max="9217" width="39.140625" style="117" customWidth="1"/>
    <col min="9218" max="9218" width="11.28515625" style="117" customWidth="1"/>
    <col min="9219" max="9219" width="13.5703125" style="117" customWidth="1"/>
    <col min="9220" max="9220" width="14" style="117" customWidth="1"/>
    <col min="9221" max="9221" width="11.140625" style="117" customWidth="1"/>
    <col min="9222" max="9223" width="15.5703125" style="117" customWidth="1"/>
    <col min="9224" max="9224" width="14.42578125" style="117" customWidth="1"/>
    <col min="9225" max="9225" width="11.140625" style="117" customWidth="1"/>
    <col min="9226" max="9226" width="12.7109375" style="117" customWidth="1"/>
    <col min="9227" max="9227" width="8.85546875" style="117" customWidth="1"/>
    <col min="9228" max="9228" width="9.28515625" style="117" customWidth="1"/>
    <col min="9229" max="9472" width="9.140625" style="117"/>
    <col min="9473" max="9473" width="39.140625" style="117" customWidth="1"/>
    <col min="9474" max="9474" width="11.28515625" style="117" customWidth="1"/>
    <col min="9475" max="9475" width="13.5703125" style="117" customWidth="1"/>
    <col min="9476" max="9476" width="14" style="117" customWidth="1"/>
    <col min="9477" max="9477" width="11.140625" style="117" customWidth="1"/>
    <col min="9478" max="9479" width="15.5703125" style="117" customWidth="1"/>
    <col min="9480" max="9480" width="14.42578125" style="117" customWidth="1"/>
    <col min="9481" max="9481" width="11.140625" style="117" customWidth="1"/>
    <col min="9482" max="9482" width="12.7109375" style="117" customWidth="1"/>
    <col min="9483" max="9483" width="8.85546875" style="117" customWidth="1"/>
    <col min="9484" max="9484" width="9.28515625" style="117" customWidth="1"/>
    <col min="9485" max="9728" width="9.140625" style="117"/>
    <col min="9729" max="9729" width="39.140625" style="117" customWidth="1"/>
    <col min="9730" max="9730" width="11.28515625" style="117" customWidth="1"/>
    <col min="9731" max="9731" width="13.5703125" style="117" customWidth="1"/>
    <col min="9732" max="9732" width="14" style="117" customWidth="1"/>
    <col min="9733" max="9733" width="11.140625" style="117" customWidth="1"/>
    <col min="9734" max="9735" width="15.5703125" style="117" customWidth="1"/>
    <col min="9736" max="9736" width="14.42578125" style="117" customWidth="1"/>
    <col min="9737" max="9737" width="11.140625" style="117" customWidth="1"/>
    <col min="9738" max="9738" width="12.7109375" style="117" customWidth="1"/>
    <col min="9739" max="9739" width="8.85546875" style="117" customWidth="1"/>
    <col min="9740" max="9740" width="9.28515625" style="117" customWidth="1"/>
    <col min="9741" max="9984" width="9.140625" style="117"/>
    <col min="9985" max="9985" width="39.140625" style="117" customWidth="1"/>
    <col min="9986" max="9986" width="11.28515625" style="117" customWidth="1"/>
    <col min="9987" max="9987" width="13.5703125" style="117" customWidth="1"/>
    <col min="9988" max="9988" width="14" style="117" customWidth="1"/>
    <col min="9989" max="9989" width="11.140625" style="117" customWidth="1"/>
    <col min="9990" max="9991" width="15.5703125" style="117" customWidth="1"/>
    <col min="9992" max="9992" width="14.42578125" style="117" customWidth="1"/>
    <col min="9993" max="9993" width="11.140625" style="117" customWidth="1"/>
    <col min="9994" max="9994" width="12.7109375" style="117" customWidth="1"/>
    <col min="9995" max="9995" width="8.85546875" style="117" customWidth="1"/>
    <col min="9996" max="9996" width="9.28515625" style="117" customWidth="1"/>
    <col min="9997" max="10240" width="9.140625" style="117"/>
    <col min="10241" max="10241" width="39.140625" style="117" customWidth="1"/>
    <col min="10242" max="10242" width="11.28515625" style="117" customWidth="1"/>
    <col min="10243" max="10243" width="13.5703125" style="117" customWidth="1"/>
    <col min="10244" max="10244" width="14" style="117" customWidth="1"/>
    <col min="10245" max="10245" width="11.140625" style="117" customWidth="1"/>
    <col min="10246" max="10247" width="15.5703125" style="117" customWidth="1"/>
    <col min="10248" max="10248" width="14.42578125" style="117" customWidth="1"/>
    <col min="10249" max="10249" width="11.140625" style="117" customWidth="1"/>
    <col min="10250" max="10250" width="12.7109375" style="117" customWidth="1"/>
    <col min="10251" max="10251" width="8.85546875" style="117" customWidth="1"/>
    <col min="10252" max="10252" width="9.28515625" style="117" customWidth="1"/>
    <col min="10253" max="10496" width="9.140625" style="117"/>
    <col min="10497" max="10497" width="39.140625" style="117" customWidth="1"/>
    <col min="10498" max="10498" width="11.28515625" style="117" customWidth="1"/>
    <col min="10499" max="10499" width="13.5703125" style="117" customWidth="1"/>
    <col min="10500" max="10500" width="14" style="117" customWidth="1"/>
    <col min="10501" max="10501" width="11.140625" style="117" customWidth="1"/>
    <col min="10502" max="10503" width="15.5703125" style="117" customWidth="1"/>
    <col min="10504" max="10504" width="14.42578125" style="117" customWidth="1"/>
    <col min="10505" max="10505" width="11.140625" style="117" customWidth="1"/>
    <col min="10506" max="10506" width="12.7109375" style="117" customWidth="1"/>
    <col min="10507" max="10507" width="8.85546875" style="117" customWidth="1"/>
    <col min="10508" max="10508" width="9.28515625" style="117" customWidth="1"/>
    <col min="10509" max="10752" width="9.140625" style="117"/>
    <col min="10753" max="10753" width="39.140625" style="117" customWidth="1"/>
    <col min="10754" max="10754" width="11.28515625" style="117" customWidth="1"/>
    <col min="10755" max="10755" width="13.5703125" style="117" customWidth="1"/>
    <col min="10756" max="10756" width="14" style="117" customWidth="1"/>
    <col min="10757" max="10757" width="11.140625" style="117" customWidth="1"/>
    <col min="10758" max="10759" width="15.5703125" style="117" customWidth="1"/>
    <col min="10760" max="10760" width="14.42578125" style="117" customWidth="1"/>
    <col min="10761" max="10761" width="11.140625" style="117" customWidth="1"/>
    <col min="10762" max="10762" width="12.7109375" style="117" customWidth="1"/>
    <col min="10763" max="10763" width="8.85546875" style="117" customWidth="1"/>
    <col min="10764" max="10764" width="9.28515625" style="117" customWidth="1"/>
    <col min="10765" max="11008" width="9.140625" style="117"/>
    <col min="11009" max="11009" width="39.140625" style="117" customWidth="1"/>
    <col min="11010" max="11010" width="11.28515625" style="117" customWidth="1"/>
    <col min="11011" max="11011" width="13.5703125" style="117" customWidth="1"/>
    <col min="11012" max="11012" width="14" style="117" customWidth="1"/>
    <col min="11013" max="11013" width="11.140625" style="117" customWidth="1"/>
    <col min="11014" max="11015" width="15.5703125" style="117" customWidth="1"/>
    <col min="11016" max="11016" width="14.42578125" style="117" customWidth="1"/>
    <col min="11017" max="11017" width="11.140625" style="117" customWidth="1"/>
    <col min="11018" max="11018" width="12.7109375" style="117" customWidth="1"/>
    <col min="11019" max="11019" width="8.85546875" style="117" customWidth="1"/>
    <col min="11020" max="11020" width="9.28515625" style="117" customWidth="1"/>
    <col min="11021" max="11264" width="9.140625" style="117"/>
    <col min="11265" max="11265" width="39.140625" style="117" customWidth="1"/>
    <col min="11266" max="11266" width="11.28515625" style="117" customWidth="1"/>
    <col min="11267" max="11267" width="13.5703125" style="117" customWidth="1"/>
    <col min="11268" max="11268" width="14" style="117" customWidth="1"/>
    <col min="11269" max="11269" width="11.140625" style="117" customWidth="1"/>
    <col min="11270" max="11271" width="15.5703125" style="117" customWidth="1"/>
    <col min="11272" max="11272" width="14.42578125" style="117" customWidth="1"/>
    <col min="11273" max="11273" width="11.140625" style="117" customWidth="1"/>
    <col min="11274" max="11274" width="12.7109375" style="117" customWidth="1"/>
    <col min="11275" max="11275" width="8.85546875" style="117" customWidth="1"/>
    <col min="11276" max="11276" width="9.28515625" style="117" customWidth="1"/>
    <col min="11277" max="11520" width="9.140625" style="117"/>
    <col min="11521" max="11521" width="39.140625" style="117" customWidth="1"/>
    <col min="11522" max="11522" width="11.28515625" style="117" customWidth="1"/>
    <col min="11523" max="11523" width="13.5703125" style="117" customWidth="1"/>
    <col min="11524" max="11524" width="14" style="117" customWidth="1"/>
    <col min="11525" max="11525" width="11.140625" style="117" customWidth="1"/>
    <col min="11526" max="11527" width="15.5703125" style="117" customWidth="1"/>
    <col min="11528" max="11528" width="14.42578125" style="117" customWidth="1"/>
    <col min="11529" max="11529" width="11.140625" style="117" customWidth="1"/>
    <col min="11530" max="11530" width="12.7109375" style="117" customWidth="1"/>
    <col min="11531" max="11531" width="8.85546875" style="117" customWidth="1"/>
    <col min="11532" max="11532" width="9.28515625" style="117" customWidth="1"/>
    <col min="11533" max="11776" width="9.140625" style="117"/>
    <col min="11777" max="11777" width="39.140625" style="117" customWidth="1"/>
    <col min="11778" max="11778" width="11.28515625" style="117" customWidth="1"/>
    <col min="11779" max="11779" width="13.5703125" style="117" customWidth="1"/>
    <col min="11780" max="11780" width="14" style="117" customWidth="1"/>
    <col min="11781" max="11781" width="11.140625" style="117" customWidth="1"/>
    <col min="11782" max="11783" width="15.5703125" style="117" customWidth="1"/>
    <col min="11784" max="11784" width="14.42578125" style="117" customWidth="1"/>
    <col min="11785" max="11785" width="11.140625" style="117" customWidth="1"/>
    <col min="11786" max="11786" width="12.7109375" style="117" customWidth="1"/>
    <col min="11787" max="11787" width="8.85546875" style="117" customWidth="1"/>
    <col min="11788" max="11788" width="9.28515625" style="117" customWidth="1"/>
    <col min="11789" max="12032" width="9.140625" style="117"/>
    <col min="12033" max="12033" width="39.140625" style="117" customWidth="1"/>
    <col min="12034" max="12034" width="11.28515625" style="117" customWidth="1"/>
    <col min="12035" max="12035" width="13.5703125" style="117" customWidth="1"/>
    <col min="12036" max="12036" width="14" style="117" customWidth="1"/>
    <col min="12037" max="12037" width="11.140625" style="117" customWidth="1"/>
    <col min="12038" max="12039" width="15.5703125" style="117" customWidth="1"/>
    <col min="12040" max="12040" width="14.42578125" style="117" customWidth="1"/>
    <col min="12041" max="12041" width="11.140625" style="117" customWidth="1"/>
    <col min="12042" max="12042" width="12.7109375" style="117" customWidth="1"/>
    <col min="12043" max="12043" width="8.85546875" style="117" customWidth="1"/>
    <col min="12044" max="12044" width="9.28515625" style="117" customWidth="1"/>
    <col min="12045" max="12288" width="9.140625" style="117"/>
    <col min="12289" max="12289" width="39.140625" style="117" customWidth="1"/>
    <col min="12290" max="12290" width="11.28515625" style="117" customWidth="1"/>
    <col min="12291" max="12291" width="13.5703125" style="117" customWidth="1"/>
    <col min="12292" max="12292" width="14" style="117" customWidth="1"/>
    <col min="12293" max="12293" width="11.140625" style="117" customWidth="1"/>
    <col min="12294" max="12295" width="15.5703125" style="117" customWidth="1"/>
    <col min="12296" max="12296" width="14.42578125" style="117" customWidth="1"/>
    <col min="12297" max="12297" width="11.140625" style="117" customWidth="1"/>
    <col min="12298" max="12298" width="12.7109375" style="117" customWidth="1"/>
    <col min="12299" max="12299" width="8.85546875" style="117" customWidth="1"/>
    <col min="12300" max="12300" width="9.28515625" style="117" customWidth="1"/>
    <col min="12301" max="12544" width="9.140625" style="117"/>
    <col min="12545" max="12545" width="39.140625" style="117" customWidth="1"/>
    <col min="12546" max="12546" width="11.28515625" style="117" customWidth="1"/>
    <col min="12547" max="12547" width="13.5703125" style="117" customWidth="1"/>
    <col min="12548" max="12548" width="14" style="117" customWidth="1"/>
    <col min="12549" max="12549" width="11.140625" style="117" customWidth="1"/>
    <col min="12550" max="12551" width="15.5703125" style="117" customWidth="1"/>
    <col min="12552" max="12552" width="14.42578125" style="117" customWidth="1"/>
    <col min="12553" max="12553" width="11.140625" style="117" customWidth="1"/>
    <col min="12554" max="12554" width="12.7109375" style="117" customWidth="1"/>
    <col min="12555" max="12555" width="8.85546875" style="117" customWidth="1"/>
    <col min="12556" max="12556" width="9.28515625" style="117" customWidth="1"/>
    <col min="12557" max="12800" width="9.140625" style="117"/>
    <col min="12801" max="12801" width="39.140625" style="117" customWidth="1"/>
    <col min="12802" max="12802" width="11.28515625" style="117" customWidth="1"/>
    <col min="12803" max="12803" width="13.5703125" style="117" customWidth="1"/>
    <col min="12804" max="12804" width="14" style="117" customWidth="1"/>
    <col min="12805" max="12805" width="11.140625" style="117" customWidth="1"/>
    <col min="12806" max="12807" width="15.5703125" style="117" customWidth="1"/>
    <col min="12808" max="12808" width="14.42578125" style="117" customWidth="1"/>
    <col min="12809" max="12809" width="11.140625" style="117" customWidth="1"/>
    <col min="12810" max="12810" width="12.7109375" style="117" customWidth="1"/>
    <col min="12811" max="12811" width="8.85546875" style="117" customWidth="1"/>
    <col min="12812" max="12812" width="9.28515625" style="117" customWidth="1"/>
    <col min="12813" max="13056" width="9.140625" style="117"/>
    <col min="13057" max="13057" width="39.140625" style="117" customWidth="1"/>
    <col min="13058" max="13058" width="11.28515625" style="117" customWidth="1"/>
    <col min="13059" max="13059" width="13.5703125" style="117" customWidth="1"/>
    <col min="13060" max="13060" width="14" style="117" customWidth="1"/>
    <col min="13061" max="13061" width="11.140625" style="117" customWidth="1"/>
    <col min="13062" max="13063" width="15.5703125" style="117" customWidth="1"/>
    <col min="13064" max="13064" width="14.42578125" style="117" customWidth="1"/>
    <col min="13065" max="13065" width="11.140625" style="117" customWidth="1"/>
    <col min="13066" max="13066" width="12.7109375" style="117" customWidth="1"/>
    <col min="13067" max="13067" width="8.85546875" style="117" customWidth="1"/>
    <col min="13068" max="13068" width="9.28515625" style="117" customWidth="1"/>
    <col min="13069" max="13312" width="9.140625" style="117"/>
    <col min="13313" max="13313" width="39.140625" style="117" customWidth="1"/>
    <col min="13314" max="13314" width="11.28515625" style="117" customWidth="1"/>
    <col min="13315" max="13315" width="13.5703125" style="117" customWidth="1"/>
    <col min="13316" max="13316" width="14" style="117" customWidth="1"/>
    <col min="13317" max="13317" width="11.140625" style="117" customWidth="1"/>
    <col min="13318" max="13319" width="15.5703125" style="117" customWidth="1"/>
    <col min="13320" max="13320" width="14.42578125" style="117" customWidth="1"/>
    <col min="13321" max="13321" width="11.140625" style="117" customWidth="1"/>
    <col min="13322" max="13322" width="12.7109375" style="117" customWidth="1"/>
    <col min="13323" max="13323" width="8.85546875" style="117" customWidth="1"/>
    <col min="13324" max="13324" width="9.28515625" style="117" customWidth="1"/>
    <col min="13325" max="13568" width="9.140625" style="117"/>
    <col min="13569" max="13569" width="39.140625" style="117" customWidth="1"/>
    <col min="13570" max="13570" width="11.28515625" style="117" customWidth="1"/>
    <col min="13571" max="13571" width="13.5703125" style="117" customWidth="1"/>
    <col min="13572" max="13572" width="14" style="117" customWidth="1"/>
    <col min="13573" max="13573" width="11.140625" style="117" customWidth="1"/>
    <col min="13574" max="13575" width="15.5703125" style="117" customWidth="1"/>
    <col min="13576" max="13576" width="14.42578125" style="117" customWidth="1"/>
    <col min="13577" max="13577" width="11.140625" style="117" customWidth="1"/>
    <col min="13578" max="13578" width="12.7109375" style="117" customWidth="1"/>
    <col min="13579" max="13579" width="8.85546875" style="117" customWidth="1"/>
    <col min="13580" max="13580" width="9.28515625" style="117" customWidth="1"/>
    <col min="13581" max="13824" width="9.140625" style="117"/>
    <col min="13825" max="13825" width="39.140625" style="117" customWidth="1"/>
    <col min="13826" max="13826" width="11.28515625" style="117" customWidth="1"/>
    <col min="13827" max="13827" width="13.5703125" style="117" customWidth="1"/>
    <col min="13828" max="13828" width="14" style="117" customWidth="1"/>
    <col min="13829" max="13829" width="11.140625" style="117" customWidth="1"/>
    <col min="13830" max="13831" width="15.5703125" style="117" customWidth="1"/>
    <col min="13832" max="13832" width="14.42578125" style="117" customWidth="1"/>
    <col min="13833" max="13833" width="11.140625" style="117" customWidth="1"/>
    <col min="13834" max="13834" width="12.7109375" style="117" customWidth="1"/>
    <col min="13835" max="13835" width="8.85546875" style="117" customWidth="1"/>
    <col min="13836" max="13836" width="9.28515625" style="117" customWidth="1"/>
    <col min="13837" max="14080" width="9.140625" style="117"/>
    <col min="14081" max="14081" width="39.140625" style="117" customWidth="1"/>
    <col min="14082" max="14082" width="11.28515625" style="117" customWidth="1"/>
    <col min="14083" max="14083" width="13.5703125" style="117" customWidth="1"/>
    <col min="14084" max="14084" width="14" style="117" customWidth="1"/>
    <col min="14085" max="14085" width="11.140625" style="117" customWidth="1"/>
    <col min="14086" max="14087" width="15.5703125" style="117" customWidth="1"/>
    <col min="14088" max="14088" width="14.42578125" style="117" customWidth="1"/>
    <col min="14089" max="14089" width="11.140625" style="117" customWidth="1"/>
    <col min="14090" max="14090" width="12.7109375" style="117" customWidth="1"/>
    <col min="14091" max="14091" width="8.85546875" style="117" customWidth="1"/>
    <col min="14092" max="14092" width="9.28515625" style="117" customWidth="1"/>
    <col min="14093" max="14336" width="9.140625" style="117"/>
    <col min="14337" max="14337" width="39.140625" style="117" customWidth="1"/>
    <col min="14338" max="14338" width="11.28515625" style="117" customWidth="1"/>
    <col min="14339" max="14339" width="13.5703125" style="117" customWidth="1"/>
    <col min="14340" max="14340" width="14" style="117" customWidth="1"/>
    <col min="14341" max="14341" width="11.140625" style="117" customWidth="1"/>
    <col min="14342" max="14343" width="15.5703125" style="117" customWidth="1"/>
    <col min="14344" max="14344" width="14.42578125" style="117" customWidth="1"/>
    <col min="14345" max="14345" width="11.140625" style="117" customWidth="1"/>
    <col min="14346" max="14346" width="12.7109375" style="117" customWidth="1"/>
    <col min="14347" max="14347" width="8.85546875" style="117" customWidth="1"/>
    <col min="14348" max="14348" width="9.28515625" style="117" customWidth="1"/>
    <col min="14349" max="14592" width="9.140625" style="117"/>
    <col min="14593" max="14593" width="39.140625" style="117" customWidth="1"/>
    <col min="14594" max="14594" width="11.28515625" style="117" customWidth="1"/>
    <col min="14595" max="14595" width="13.5703125" style="117" customWidth="1"/>
    <col min="14596" max="14596" width="14" style="117" customWidth="1"/>
    <col min="14597" max="14597" width="11.140625" style="117" customWidth="1"/>
    <col min="14598" max="14599" width="15.5703125" style="117" customWidth="1"/>
    <col min="14600" max="14600" width="14.42578125" style="117" customWidth="1"/>
    <col min="14601" max="14601" width="11.140625" style="117" customWidth="1"/>
    <col min="14602" max="14602" width="12.7109375" style="117" customWidth="1"/>
    <col min="14603" max="14603" width="8.85546875" style="117" customWidth="1"/>
    <col min="14604" max="14604" width="9.28515625" style="117" customWidth="1"/>
    <col min="14605" max="14848" width="9.140625" style="117"/>
    <col min="14849" max="14849" width="39.140625" style="117" customWidth="1"/>
    <col min="14850" max="14850" width="11.28515625" style="117" customWidth="1"/>
    <col min="14851" max="14851" width="13.5703125" style="117" customWidth="1"/>
    <col min="14852" max="14852" width="14" style="117" customWidth="1"/>
    <col min="14853" max="14853" width="11.140625" style="117" customWidth="1"/>
    <col min="14854" max="14855" width="15.5703125" style="117" customWidth="1"/>
    <col min="14856" max="14856" width="14.42578125" style="117" customWidth="1"/>
    <col min="14857" max="14857" width="11.140625" style="117" customWidth="1"/>
    <col min="14858" max="14858" width="12.7109375" style="117" customWidth="1"/>
    <col min="14859" max="14859" width="8.85546875" style="117" customWidth="1"/>
    <col min="14860" max="14860" width="9.28515625" style="117" customWidth="1"/>
    <col min="14861" max="15104" width="9.140625" style="117"/>
    <col min="15105" max="15105" width="39.140625" style="117" customWidth="1"/>
    <col min="15106" max="15106" width="11.28515625" style="117" customWidth="1"/>
    <col min="15107" max="15107" width="13.5703125" style="117" customWidth="1"/>
    <col min="15108" max="15108" width="14" style="117" customWidth="1"/>
    <col min="15109" max="15109" width="11.140625" style="117" customWidth="1"/>
    <col min="15110" max="15111" width="15.5703125" style="117" customWidth="1"/>
    <col min="15112" max="15112" width="14.42578125" style="117" customWidth="1"/>
    <col min="15113" max="15113" width="11.140625" style="117" customWidth="1"/>
    <col min="15114" max="15114" width="12.7109375" style="117" customWidth="1"/>
    <col min="15115" max="15115" width="8.85546875" style="117" customWidth="1"/>
    <col min="15116" max="15116" width="9.28515625" style="117" customWidth="1"/>
    <col min="15117" max="15360" width="9.140625" style="117"/>
    <col min="15361" max="15361" width="39.140625" style="117" customWidth="1"/>
    <col min="15362" max="15362" width="11.28515625" style="117" customWidth="1"/>
    <col min="15363" max="15363" width="13.5703125" style="117" customWidth="1"/>
    <col min="15364" max="15364" width="14" style="117" customWidth="1"/>
    <col min="15365" max="15365" width="11.140625" style="117" customWidth="1"/>
    <col min="15366" max="15367" width="15.5703125" style="117" customWidth="1"/>
    <col min="15368" max="15368" width="14.42578125" style="117" customWidth="1"/>
    <col min="15369" max="15369" width="11.140625" style="117" customWidth="1"/>
    <col min="15370" max="15370" width="12.7109375" style="117" customWidth="1"/>
    <col min="15371" max="15371" width="8.85546875" style="117" customWidth="1"/>
    <col min="15372" max="15372" width="9.28515625" style="117" customWidth="1"/>
    <col min="15373" max="15616" width="9.140625" style="117"/>
    <col min="15617" max="15617" width="39.140625" style="117" customWidth="1"/>
    <col min="15618" max="15618" width="11.28515625" style="117" customWidth="1"/>
    <col min="15619" max="15619" width="13.5703125" style="117" customWidth="1"/>
    <col min="15620" max="15620" width="14" style="117" customWidth="1"/>
    <col min="15621" max="15621" width="11.140625" style="117" customWidth="1"/>
    <col min="15622" max="15623" width="15.5703125" style="117" customWidth="1"/>
    <col min="15624" max="15624" width="14.42578125" style="117" customWidth="1"/>
    <col min="15625" max="15625" width="11.140625" style="117" customWidth="1"/>
    <col min="15626" max="15626" width="12.7109375" style="117" customWidth="1"/>
    <col min="15627" max="15627" width="8.85546875" style="117" customWidth="1"/>
    <col min="15628" max="15628" width="9.28515625" style="117" customWidth="1"/>
    <col min="15629" max="15872" width="9.140625" style="117"/>
    <col min="15873" max="15873" width="39.140625" style="117" customWidth="1"/>
    <col min="15874" max="15874" width="11.28515625" style="117" customWidth="1"/>
    <col min="15875" max="15875" width="13.5703125" style="117" customWidth="1"/>
    <col min="15876" max="15876" width="14" style="117" customWidth="1"/>
    <col min="15877" max="15877" width="11.140625" style="117" customWidth="1"/>
    <col min="15878" max="15879" width="15.5703125" style="117" customWidth="1"/>
    <col min="15880" max="15880" width="14.42578125" style="117" customWidth="1"/>
    <col min="15881" max="15881" width="11.140625" style="117" customWidth="1"/>
    <col min="15882" max="15882" width="12.7109375" style="117" customWidth="1"/>
    <col min="15883" max="15883" width="8.85546875" style="117" customWidth="1"/>
    <col min="15884" max="15884" width="9.28515625" style="117" customWidth="1"/>
    <col min="15885" max="16128" width="9.140625" style="117"/>
    <col min="16129" max="16129" width="39.140625" style="117" customWidth="1"/>
    <col min="16130" max="16130" width="11.28515625" style="117" customWidth="1"/>
    <col min="16131" max="16131" width="13.5703125" style="117" customWidth="1"/>
    <col min="16132" max="16132" width="14" style="117" customWidth="1"/>
    <col min="16133" max="16133" width="11.140625" style="117" customWidth="1"/>
    <col min="16134" max="16135" width="15.5703125" style="117" customWidth="1"/>
    <col min="16136" max="16136" width="14.42578125" style="117" customWidth="1"/>
    <col min="16137" max="16137" width="11.140625" style="117" customWidth="1"/>
    <col min="16138" max="16138" width="12.7109375" style="117" customWidth="1"/>
    <col min="16139" max="16139" width="8.85546875" style="117" customWidth="1"/>
    <col min="16140" max="16140" width="9.28515625" style="117" customWidth="1"/>
    <col min="16141" max="16384" width="9.140625" style="117"/>
  </cols>
  <sheetData>
    <row r="1" spans="1:14" ht="15">
      <c r="A1" s="843" t="s">
        <v>31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</row>
    <row r="2" spans="1:14" ht="18.75" customHeight="1">
      <c r="A2" s="843" t="s">
        <v>416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126"/>
      <c r="N2" s="126"/>
    </row>
    <row r="3" spans="1:14" ht="18.75" customHeight="1">
      <c r="A3" s="489" t="s">
        <v>585</v>
      </c>
      <c r="B3" s="489"/>
      <c r="C3" s="489"/>
      <c r="D3" s="426"/>
      <c r="E3" s="426"/>
      <c r="F3" s="426"/>
      <c r="G3" s="426"/>
      <c r="H3" s="426"/>
      <c r="I3" s="426"/>
      <c r="J3" s="426"/>
      <c r="K3" s="426"/>
      <c r="L3" s="426"/>
      <c r="M3" s="126"/>
      <c r="N3" s="126"/>
    </row>
    <row r="4" spans="1:14" ht="26.25" customHeight="1">
      <c r="A4" s="427" t="s">
        <v>415</v>
      </c>
      <c r="B4" s="552" t="s">
        <v>414</v>
      </c>
      <c r="C4" s="552"/>
      <c r="D4" s="552"/>
      <c r="E4" s="552"/>
      <c r="F4" s="427" t="s">
        <v>267</v>
      </c>
      <c r="G4" s="420">
        <v>10</v>
      </c>
      <c r="H4" s="427" t="s">
        <v>4</v>
      </c>
      <c r="I4" s="123">
        <v>5434</v>
      </c>
      <c r="J4" s="844" t="s">
        <v>86</v>
      </c>
      <c r="K4" s="844"/>
      <c r="L4" s="123">
        <v>30</v>
      </c>
      <c r="M4" s="428"/>
    </row>
    <row r="5" spans="1:14" ht="26.25" customHeight="1">
      <c r="A5" s="429" t="s">
        <v>413</v>
      </c>
      <c r="B5" s="842" t="s">
        <v>412</v>
      </c>
      <c r="C5" s="842"/>
      <c r="D5" s="842"/>
      <c r="E5" s="842"/>
      <c r="F5" s="430" t="s">
        <v>411</v>
      </c>
      <c r="G5" s="430"/>
      <c r="H5" s="842" t="s">
        <v>410</v>
      </c>
      <c r="I5" s="842"/>
      <c r="J5" s="842"/>
      <c r="K5" s="431"/>
      <c r="L5" s="431"/>
      <c r="M5" s="431"/>
      <c r="N5" s="431"/>
    </row>
    <row r="6" spans="1:14" ht="26.25" customHeight="1">
      <c r="A6" s="432" t="s">
        <v>210</v>
      </c>
      <c r="B6" s="832" t="s">
        <v>409</v>
      </c>
      <c r="C6" s="832"/>
      <c r="D6" s="832"/>
      <c r="E6" s="832"/>
      <c r="F6" s="832"/>
      <c r="G6" s="433" t="s">
        <v>408</v>
      </c>
      <c r="H6" s="833" t="s">
        <v>407</v>
      </c>
      <c r="I6" s="833"/>
      <c r="J6" s="833"/>
      <c r="K6" s="833"/>
      <c r="L6" s="431"/>
      <c r="M6" s="431"/>
      <c r="N6" s="431"/>
    </row>
    <row r="7" spans="1:14" ht="26.25" customHeight="1">
      <c r="A7" s="434" t="s">
        <v>406</v>
      </c>
      <c r="B7" s="552">
        <v>28</v>
      </c>
      <c r="C7" s="552"/>
      <c r="D7" s="834" t="s">
        <v>405</v>
      </c>
      <c r="E7" s="834"/>
      <c r="F7" s="834"/>
      <c r="G7" s="425">
        <v>20</v>
      </c>
      <c r="H7" s="435" t="s">
        <v>129</v>
      </c>
      <c r="I7" s="124">
        <v>185</v>
      </c>
      <c r="J7" s="435" t="s">
        <v>94</v>
      </c>
      <c r="K7" s="124">
        <v>17</v>
      </c>
      <c r="L7" s="435" t="s">
        <v>95</v>
      </c>
      <c r="M7" s="123">
        <v>11</v>
      </c>
      <c r="N7" s="431"/>
    </row>
    <row r="8" spans="1:14" s="431" customFormat="1"/>
    <row r="9" spans="1:14" ht="26.25" customHeight="1">
      <c r="A9" s="436" t="s">
        <v>404</v>
      </c>
      <c r="B9" s="434" t="s">
        <v>40</v>
      </c>
      <c r="C9" s="123">
        <f>[6]Sheet2!C16+[6]Sheet3!C16+[6]Sheet4!C16+[6]Sheet6!C16+[6]Sheet7!C16+[6]Sheet8!C16+[6]Sheet9!C16+[6]Sheet10!C16+[6]Sheet11!C16+[6]Sheet12!C16</f>
        <v>1574</v>
      </c>
      <c r="D9" s="434" t="s">
        <v>41</v>
      </c>
      <c r="E9" s="123">
        <f>[6]Sheet2!E16+[6]Sheet3!E16+[6]Sheet4!E16+[6]Sheet6!E16+[6]Sheet7!E16+[6]Sheet8!E16+[6]Sheet9!E16+[6]Sheet10!E16+[6]Sheet11!E16+[6]Sheet12!E16</f>
        <v>206</v>
      </c>
      <c r="F9" s="434" t="s">
        <v>676</v>
      </c>
      <c r="G9" s="123">
        <f>[6]Sheet2!G16+[6]Sheet3!G16+[6]Sheet4!G16+[6]Sheet6!G16+[6]Sheet7!G16+[6]Sheet8!G16+[6]Sheet9!G16+[6]Sheet10!G16+[6]Sheet11!G16+[6]Sheet12!G16</f>
        <v>295</v>
      </c>
      <c r="H9" s="427" t="s">
        <v>64</v>
      </c>
      <c r="I9" s="123">
        <f>[6]Sheet2!I16+[6]Sheet3!I16+[6]Sheet4!I16+[6]Sheet6!I16+[6]Sheet7!I16+[6]Sheet8!I16+[6]Sheet9!I16+[6]Sheet10!I16+[6]Sheet11!I16+[6]Sheet12!I16</f>
        <v>2075</v>
      </c>
      <c r="J9" s="437" t="s">
        <v>43</v>
      </c>
      <c r="K9" s="123">
        <f>[6]Sheet2!K16+[6]Sheet3!K16+[6]Sheet4!K16+[6]Sheet6!K16+[6]Sheet7!K16+[6]Sheet8!K16+[6]Sheet9!K16+[6]Sheet10!K16+[6]Sheet11!K16+[6]Sheet12!K16</f>
        <v>324</v>
      </c>
      <c r="L9" s="427" t="s">
        <v>403</v>
      </c>
      <c r="M9" s="123">
        <f>[6]Sheet2!N16+[6]Sheet3!N16+[6]Sheet4!N16+[6]Sheet6!N16+[6]Sheet7!N16+[6]Sheet8!N16+[6]Sheet9!N16+[6]Sheet10!N16+[6]Sheet11!N16+[6]Sheet12!N16</f>
        <v>112</v>
      </c>
      <c r="N9" s="431"/>
    </row>
    <row r="10" spans="1:14" ht="26.25" customHeight="1">
      <c r="A10" s="436" t="s">
        <v>677</v>
      </c>
      <c r="B10" s="434" t="s">
        <v>46</v>
      </c>
      <c r="C10" s="123">
        <f>[6]Sheet2!C17+[6]Sheet3!C17+[6]Sheet4!C17+[6]Sheet6!C17+[6]Sheet7!C17+[6]Sheet8!C17+[6]Sheet9!C17+[6]Sheet10!C17+[6]Sheet11!C17+[6]Sheet12!C17</f>
        <v>3508</v>
      </c>
      <c r="D10" s="434" t="s">
        <v>47</v>
      </c>
      <c r="E10" s="123">
        <f>[6]Sheet2!E17+[6]Sheet3!E17+[6]Sheet4!E17+[6]Sheet6!E17+[6]Sheet7!E17+[6]Sheet8!E17+[6]Sheet9!E17+[6]Sheet10!E17+[6]Sheet11!E17+[6]Sheet12!E17</f>
        <v>416</v>
      </c>
      <c r="F10" s="434" t="s">
        <v>402</v>
      </c>
      <c r="G10" s="123">
        <f>[6]Sheet2!G17+[6]Sheet3!G17+[6]Sheet4!G17+[6]Sheet6!G17+[6]Sheet7!G17+[6]Sheet8!G17+[6]Sheet9!G17+[6]Sheet10!G17+[6]Sheet11!G17+[6]Sheet12!G17</f>
        <v>632</v>
      </c>
      <c r="H10" s="427" t="s">
        <v>401</v>
      </c>
      <c r="I10" s="123">
        <f>[6]Sheet2!I17+[6]Sheet3!I17+[6]Sheet4!I17+[6]Sheet6!I17+[6]Sheet7!I17+[6]Sheet8!I17+[6]Sheet9!I17+[6]Sheet10!I17+[6]Sheet11!I17+[6]Sheet12!I17</f>
        <v>4556</v>
      </c>
      <c r="J10" s="431"/>
      <c r="K10" s="431"/>
      <c r="L10" s="431"/>
      <c r="M10" s="431"/>
      <c r="N10" s="431"/>
    </row>
    <row r="11" spans="1:14" ht="26.25" customHeight="1">
      <c r="A11" s="431"/>
      <c r="B11" s="434" t="s">
        <v>49</v>
      </c>
      <c r="C11" s="123">
        <f>[6]Sheet2!C18+[6]Sheet3!C18+[6]Sheet4!C18+[6]Sheet6!C18+[6]Sheet7!C18+[6]Sheet8!C18+[6]Sheet9!C18+[6]Sheet10!C18+[6]Sheet11!C18+[6]Sheet12!C18</f>
        <v>3374</v>
      </c>
      <c r="D11" s="434" t="s">
        <v>50</v>
      </c>
      <c r="E11" s="123">
        <f>[6]Sheet2!E18+[6]Sheet3!E18+[6]Sheet4!E18+[6]Sheet6!E18+[6]Sheet7!E18+[6]Sheet8!E18+[6]Sheet9!E18+[6]Sheet10!E18+[6]Sheet11!E18+[6]Sheet12!E18</f>
        <v>376</v>
      </c>
      <c r="F11" s="434" t="s">
        <v>162</v>
      </c>
      <c r="G11" s="123">
        <f>[6]Sheet2!G18+[6]Sheet3!G18+[6]Sheet4!G18+[6]Sheet6!G18+[6]Sheet7!G18+[6]Sheet8!G18+[6]Sheet9!G18+[6]Sheet10!G18+[6]Sheet11!G18+[6]Sheet12!G18</f>
        <v>564</v>
      </c>
      <c r="H11" s="427" t="s">
        <v>400</v>
      </c>
      <c r="I11" s="123">
        <f>[6]Sheet2!I18+[6]Sheet3!I18+[6]Sheet4!I18+[6]Sheet6!I18+[6]Sheet7!I18+[6]Sheet8!I18+[6]Sheet9!I18+[6]Sheet10!I18+[6]Sheet11!I18+[6]Sheet12!I18</f>
        <v>4334</v>
      </c>
      <c r="J11" s="431"/>
      <c r="K11" s="431"/>
      <c r="L11" s="431"/>
      <c r="M11" s="431"/>
      <c r="N11" s="431"/>
    </row>
    <row r="12" spans="1:14" ht="26.25" customHeight="1">
      <c r="A12" s="438" t="s">
        <v>52</v>
      </c>
      <c r="B12" s="552"/>
      <c r="C12" s="552"/>
      <c r="D12" s="552"/>
      <c r="E12" s="552"/>
      <c r="F12" s="835"/>
      <c r="G12" s="835"/>
      <c r="H12" s="835"/>
      <c r="I12" s="835"/>
      <c r="J12" s="836"/>
      <c r="K12" s="836"/>
      <c r="L12" s="836"/>
      <c r="M12" s="837"/>
      <c r="N12" s="431"/>
    </row>
    <row r="13" spans="1:14" ht="26.25" customHeight="1">
      <c r="A13" s="838" t="s">
        <v>399</v>
      </c>
      <c r="B13" s="840" t="s">
        <v>101</v>
      </c>
      <c r="C13" s="840" t="s">
        <v>55</v>
      </c>
      <c r="D13" s="840" t="s">
        <v>398</v>
      </c>
      <c r="E13" s="840" t="s">
        <v>397</v>
      </c>
      <c r="F13" s="831" t="s">
        <v>396</v>
      </c>
      <c r="G13" s="831"/>
      <c r="H13" s="831"/>
      <c r="I13" s="831"/>
      <c r="J13" s="831"/>
      <c r="K13" s="831"/>
      <c r="L13" s="831"/>
      <c r="M13" s="831"/>
      <c r="N13" s="831"/>
    </row>
    <row r="14" spans="1:14" ht="26.25" customHeight="1">
      <c r="A14" s="839"/>
      <c r="B14" s="841"/>
      <c r="C14" s="841"/>
      <c r="D14" s="841"/>
      <c r="E14" s="841"/>
      <c r="F14" s="439" t="s">
        <v>395</v>
      </c>
      <c r="G14" s="439" t="s">
        <v>394</v>
      </c>
      <c r="H14" s="439" t="s">
        <v>393</v>
      </c>
      <c r="I14" s="439" t="s">
        <v>392</v>
      </c>
      <c r="J14" s="439" t="s">
        <v>391</v>
      </c>
      <c r="K14" s="439" t="s">
        <v>390</v>
      </c>
      <c r="L14" s="439" t="s">
        <v>389</v>
      </c>
      <c r="M14" s="440" t="s">
        <v>64</v>
      </c>
      <c r="N14" s="440" t="s">
        <v>388</v>
      </c>
    </row>
    <row r="15" spans="1:14" ht="26.25" customHeight="1">
      <c r="A15" s="441" t="s">
        <v>678</v>
      </c>
      <c r="B15" s="121">
        <v>500</v>
      </c>
      <c r="C15" s="121" t="s">
        <v>300</v>
      </c>
      <c r="D15" s="123">
        <f>B15*5434/100000</f>
        <v>27.17</v>
      </c>
      <c r="E15" s="122">
        <v>8.86</v>
      </c>
      <c r="F15" s="122">
        <v>0</v>
      </c>
      <c r="G15" s="122">
        <v>4.84</v>
      </c>
      <c r="H15" s="122">
        <v>2.7319399999999998</v>
      </c>
      <c r="I15" s="123"/>
      <c r="J15" s="122"/>
      <c r="K15" s="122"/>
      <c r="L15" s="122"/>
      <c r="M15" s="122">
        <f>F15+G15+H15</f>
        <v>7.5719399999999997</v>
      </c>
      <c r="N15" s="118">
        <f>M15/E15*100</f>
        <v>85.462076749435667</v>
      </c>
    </row>
    <row r="16" spans="1:14" ht="26.25" customHeight="1">
      <c r="A16" s="442" t="s">
        <v>320</v>
      </c>
      <c r="B16" s="121">
        <v>360</v>
      </c>
      <c r="C16" s="121" t="s">
        <v>300</v>
      </c>
      <c r="D16" s="443">
        <f>B16*5434/100000</f>
        <v>19.5624</v>
      </c>
      <c r="E16" s="122">
        <v>2.04</v>
      </c>
      <c r="F16" s="139">
        <v>0</v>
      </c>
      <c r="G16" s="139">
        <v>0</v>
      </c>
      <c r="H16" s="122">
        <v>0.82281000000000004</v>
      </c>
      <c r="I16" s="123"/>
      <c r="J16" s="121"/>
      <c r="K16" s="120"/>
      <c r="L16" s="120"/>
      <c r="M16" s="122">
        <f t="shared" ref="M16:M22" si="0">F16+G16+H16</f>
        <v>0.82281000000000004</v>
      </c>
      <c r="N16" s="118">
        <f t="shared" ref="N16:N23" si="1">M16/E16*100</f>
        <v>40.333823529411767</v>
      </c>
    </row>
    <row r="17" spans="1:14" ht="26.25" customHeight="1">
      <c r="A17" s="442" t="s">
        <v>387</v>
      </c>
      <c r="B17" s="121">
        <v>8.4</v>
      </c>
      <c r="C17" s="121" t="s">
        <v>383</v>
      </c>
      <c r="D17" s="122">
        <f>B17*7</f>
        <v>58.800000000000004</v>
      </c>
      <c r="E17" s="122">
        <v>7.5</v>
      </c>
      <c r="F17" s="139">
        <v>0.3</v>
      </c>
      <c r="G17" s="139">
        <v>3.6</v>
      </c>
      <c r="H17" s="122">
        <v>1.8</v>
      </c>
      <c r="I17" s="123"/>
      <c r="J17" s="121"/>
      <c r="K17" s="120"/>
      <c r="L17" s="120"/>
      <c r="M17" s="122">
        <f t="shared" si="0"/>
        <v>5.7</v>
      </c>
      <c r="N17" s="118">
        <f t="shared" si="1"/>
        <v>76</v>
      </c>
    </row>
    <row r="18" spans="1:14" ht="26.25" customHeight="1">
      <c r="A18" s="442" t="s">
        <v>386</v>
      </c>
      <c r="B18" s="121">
        <v>0.84</v>
      </c>
      <c r="C18" s="121" t="s">
        <v>383</v>
      </c>
      <c r="D18" s="122">
        <f>B18*7</f>
        <v>5.88</v>
      </c>
      <c r="E18" s="122">
        <v>1.88</v>
      </c>
      <c r="F18" s="139">
        <v>7.4999999999999997E-2</v>
      </c>
      <c r="G18" s="139">
        <v>0.9</v>
      </c>
      <c r="H18" s="122">
        <v>0.45</v>
      </c>
      <c r="I18" s="123"/>
      <c r="J18" s="121"/>
      <c r="K18" s="120"/>
      <c r="L18" s="120"/>
      <c r="M18" s="122">
        <f t="shared" si="0"/>
        <v>1.425</v>
      </c>
      <c r="N18" s="118">
        <f t="shared" si="1"/>
        <v>75.797872340425542</v>
      </c>
    </row>
    <row r="19" spans="1:14" ht="26.25" customHeight="1">
      <c r="A19" s="442" t="s">
        <v>385</v>
      </c>
      <c r="B19" s="121">
        <v>3.6</v>
      </c>
      <c r="C19" s="121" t="s">
        <v>383</v>
      </c>
      <c r="D19" s="122">
        <f>B19*7</f>
        <v>25.2</v>
      </c>
      <c r="E19" s="122">
        <v>5</v>
      </c>
      <c r="F19" s="139">
        <v>0.2</v>
      </c>
      <c r="G19" s="139">
        <v>2.4</v>
      </c>
      <c r="H19" s="122">
        <v>1.2</v>
      </c>
      <c r="I19" s="123"/>
      <c r="J19" s="121"/>
      <c r="K19" s="120"/>
      <c r="L19" s="120"/>
      <c r="M19" s="122">
        <f t="shared" si="0"/>
        <v>3.8</v>
      </c>
      <c r="N19" s="118">
        <f t="shared" si="1"/>
        <v>76</v>
      </c>
    </row>
    <row r="20" spans="1:14" ht="26.25" customHeight="1">
      <c r="A20" s="442" t="s">
        <v>384</v>
      </c>
      <c r="B20" s="121">
        <v>0.24</v>
      </c>
      <c r="C20" s="121" t="s">
        <v>383</v>
      </c>
      <c r="D20" s="122">
        <f>B20*7</f>
        <v>1.68</v>
      </c>
      <c r="E20" s="122">
        <v>0.5</v>
      </c>
      <c r="F20" s="139">
        <v>3.7999999999999999E-2</v>
      </c>
      <c r="G20" s="139">
        <v>0.24</v>
      </c>
      <c r="H20" s="122">
        <v>0.12</v>
      </c>
      <c r="I20" s="123"/>
      <c r="J20" s="121"/>
      <c r="K20" s="120"/>
      <c r="L20" s="120"/>
      <c r="M20" s="122">
        <f t="shared" si="0"/>
        <v>0.39799999999999996</v>
      </c>
      <c r="N20" s="118">
        <f t="shared" si="1"/>
        <v>79.599999999999994</v>
      </c>
    </row>
    <row r="21" spans="1:14" ht="26.25" customHeight="1">
      <c r="A21" s="442" t="s">
        <v>306</v>
      </c>
      <c r="B21" s="121">
        <v>0.24</v>
      </c>
      <c r="C21" s="121" t="s">
        <v>383</v>
      </c>
      <c r="D21" s="122">
        <f>B21*7</f>
        <v>1.68</v>
      </c>
      <c r="E21" s="122">
        <v>0.75</v>
      </c>
      <c r="F21" s="139">
        <v>5.3069999999999999E-2</v>
      </c>
      <c r="G21" s="139">
        <v>0.36118</v>
      </c>
      <c r="H21" s="122">
        <v>0.18</v>
      </c>
      <c r="I21" s="123"/>
      <c r="J21" s="121"/>
      <c r="K21" s="120"/>
      <c r="L21" s="120"/>
      <c r="M21" s="122">
        <f t="shared" si="0"/>
        <v>0.59424999999999994</v>
      </c>
      <c r="N21" s="118">
        <f t="shared" si="1"/>
        <v>79.23333333333332</v>
      </c>
    </row>
    <row r="22" spans="1:14" ht="26.25" customHeight="1">
      <c r="A22" s="442" t="s">
        <v>165</v>
      </c>
      <c r="B22" s="121">
        <v>0.2</v>
      </c>
      <c r="C22" s="121" t="s">
        <v>68</v>
      </c>
      <c r="D22" s="122">
        <v>0.2</v>
      </c>
      <c r="E22" s="122">
        <v>0.2</v>
      </c>
      <c r="F22" s="139">
        <v>0</v>
      </c>
      <c r="G22" s="139">
        <v>0.2</v>
      </c>
      <c r="H22" s="122">
        <v>0</v>
      </c>
      <c r="I22" s="123"/>
      <c r="J22" s="121"/>
      <c r="K22" s="120"/>
      <c r="L22" s="120"/>
      <c r="M22" s="122">
        <f t="shared" si="0"/>
        <v>0.2</v>
      </c>
      <c r="N22" s="118">
        <f t="shared" si="1"/>
        <v>100</v>
      </c>
    </row>
    <row r="23" spans="1:14" ht="26.25" customHeight="1">
      <c r="A23" s="444" t="s">
        <v>69</v>
      </c>
      <c r="B23" s="121"/>
      <c r="C23" s="121"/>
      <c r="D23" s="119">
        <f>SUM(D15:D22)</f>
        <v>140.17239999999998</v>
      </c>
      <c r="E23" s="119">
        <f>SUM(E15:E22)</f>
        <v>26.729999999999997</v>
      </c>
      <c r="F23" s="119">
        <f>SUM(F15:F22)</f>
        <v>0.66606999999999994</v>
      </c>
      <c r="G23" s="119">
        <f>SUM(G15:G22)</f>
        <v>12.541179999999999</v>
      </c>
      <c r="H23" s="119">
        <f>SUM(H15:H22)</f>
        <v>7.3047500000000003</v>
      </c>
      <c r="I23" s="121"/>
      <c r="J23" s="121"/>
      <c r="K23" s="120"/>
      <c r="L23" s="120"/>
      <c r="M23" s="119">
        <f>SUM(M15:M22)</f>
        <v>20.512</v>
      </c>
      <c r="N23" s="118">
        <f t="shared" si="1"/>
        <v>76.737747848858973</v>
      </c>
    </row>
  </sheetData>
  <mergeCells count="18">
    <mergeCell ref="B5:E5"/>
    <mergeCell ref="H5:J5"/>
    <mergeCell ref="A1:N1"/>
    <mergeCell ref="A2:L2"/>
    <mergeCell ref="A3:C3"/>
    <mergeCell ref="B4:E4"/>
    <mergeCell ref="J4:K4"/>
    <mergeCell ref="A13:A14"/>
    <mergeCell ref="B13:B14"/>
    <mergeCell ref="C13:C14"/>
    <mergeCell ref="D13:D14"/>
    <mergeCell ref="E13:E14"/>
    <mergeCell ref="F13:N13"/>
    <mergeCell ref="B6:F6"/>
    <mergeCell ref="H6:K6"/>
    <mergeCell ref="B7:C7"/>
    <mergeCell ref="D7:F7"/>
    <mergeCell ref="B12:M12"/>
  </mergeCells>
  <hyperlinks>
    <hyperlink ref="A3" location="'Fact Sheet of VDC'!A1" display="&lt;&lt;Back"/>
  </hyperlinks>
  <printOptions horizontalCentered="1" verticalCentered="1"/>
  <pageMargins left="0.15748031496062992" right="0" top="0.98425196850393704" bottom="0.98425196850393704" header="0.51181102362204722" footer="0.51181102362204722"/>
  <pageSetup paperSize="9" scale="7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A3" sqref="A3:C3"/>
    </sheetView>
  </sheetViews>
  <sheetFormatPr defaultRowHeight="15"/>
  <cols>
    <col min="1" max="1" width="42.85546875" style="248" customWidth="1"/>
    <col min="2" max="2" width="11.140625" style="248" customWidth="1"/>
    <col min="3" max="3" width="13.42578125" style="248" customWidth="1"/>
    <col min="4" max="4" width="12.42578125" style="248" customWidth="1"/>
    <col min="5" max="5" width="12" style="248" customWidth="1"/>
    <col min="6" max="6" width="13.28515625" style="248" customWidth="1"/>
    <col min="7" max="7" width="9.140625" style="248"/>
    <col min="8" max="8" width="10.7109375" style="248" customWidth="1"/>
    <col min="9" max="10" width="9.140625" style="248"/>
    <col min="11" max="11" width="9.7109375" style="248" customWidth="1"/>
    <col min="12" max="12" width="9.140625" style="248"/>
    <col min="13" max="13" width="9.28515625" style="248" customWidth="1"/>
    <col min="14" max="14" width="9.5703125" style="248" bestFit="1" customWidth="1"/>
    <col min="15" max="256" width="9.140625" style="248"/>
    <col min="257" max="257" width="42.85546875" style="248" customWidth="1"/>
    <col min="258" max="258" width="11.140625" style="248" customWidth="1"/>
    <col min="259" max="259" width="13.42578125" style="248" customWidth="1"/>
    <col min="260" max="260" width="12.42578125" style="248" customWidth="1"/>
    <col min="261" max="261" width="12" style="248" customWidth="1"/>
    <col min="262" max="262" width="13.28515625" style="248" customWidth="1"/>
    <col min="263" max="263" width="9.140625" style="248"/>
    <col min="264" max="264" width="10.7109375" style="248" customWidth="1"/>
    <col min="265" max="266" width="9.140625" style="248"/>
    <col min="267" max="267" width="9.7109375" style="248" customWidth="1"/>
    <col min="268" max="268" width="9.140625" style="248"/>
    <col min="269" max="269" width="9.28515625" style="248" customWidth="1"/>
    <col min="270" max="270" width="9.5703125" style="248" bestFit="1" customWidth="1"/>
    <col min="271" max="512" width="9.140625" style="248"/>
    <col min="513" max="513" width="42.85546875" style="248" customWidth="1"/>
    <col min="514" max="514" width="11.140625" style="248" customWidth="1"/>
    <col min="515" max="515" width="13.42578125" style="248" customWidth="1"/>
    <col min="516" max="516" width="12.42578125" style="248" customWidth="1"/>
    <col min="517" max="517" width="12" style="248" customWidth="1"/>
    <col min="518" max="518" width="13.28515625" style="248" customWidth="1"/>
    <col min="519" max="519" width="9.140625" style="248"/>
    <col min="520" max="520" width="10.7109375" style="248" customWidth="1"/>
    <col min="521" max="522" width="9.140625" style="248"/>
    <col min="523" max="523" width="9.7109375" style="248" customWidth="1"/>
    <col min="524" max="524" width="9.140625" style="248"/>
    <col min="525" max="525" width="9.28515625" style="248" customWidth="1"/>
    <col min="526" max="526" width="9.5703125" style="248" bestFit="1" customWidth="1"/>
    <col min="527" max="768" width="9.140625" style="248"/>
    <col min="769" max="769" width="42.85546875" style="248" customWidth="1"/>
    <col min="770" max="770" width="11.140625" style="248" customWidth="1"/>
    <col min="771" max="771" width="13.42578125" style="248" customWidth="1"/>
    <col min="772" max="772" width="12.42578125" style="248" customWidth="1"/>
    <col min="773" max="773" width="12" style="248" customWidth="1"/>
    <col min="774" max="774" width="13.28515625" style="248" customWidth="1"/>
    <col min="775" max="775" width="9.140625" style="248"/>
    <col min="776" max="776" width="10.7109375" style="248" customWidth="1"/>
    <col min="777" max="778" width="9.140625" style="248"/>
    <col min="779" max="779" width="9.7109375" style="248" customWidth="1"/>
    <col min="780" max="780" width="9.140625" style="248"/>
    <col min="781" max="781" width="9.28515625" style="248" customWidth="1"/>
    <col min="782" max="782" width="9.5703125" style="248" bestFit="1" customWidth="1"/>
    <col min="783" max="1024" width="9.140625" style="248"/>
    <col min="1025" max="1025" width="42.85546875" style="248" customWidth="1"/>
    <col min="1026" max="1026" width="11.140625" style="248" customWidth="1"/>
    <col min="1027" max="1027" width="13.42578125" style="248" customWidth="1"/>
    <col min="1028" max="1028" width="12.42578125" style="248" customWidth="1"/>
    <col min="1029" max="1029" width="12" style="248" customWidth="1"/>
    <col min="1030" max="1030" width="13.28515625" style="248" customWidth="1"/>
    <col min="1031" max="1031" width="9.140625" style="248"/>
    <col min="1032" max="1032" width="10.7109375" style="248" customWidth="1"/>
    <col min="1033" max="1034" width="9.140625" style="248"/>
    <col min="1035" max="1035" width="9.7109375" style="248" customWidth="1"/>
    <col min="1036" max="1036" width="9.140625" style="248"/>
    <col min="1037" max="1037" width="9.28515625" style="248" customWidth="1"/>
    <col min="1038" max="1038" width="9.5703125" style="248" bestFit="1" customWidth="1"/>
    <col min="1039" max="1280" width="9.140625" style="248"/>
    <col min="1281" max="1281" width="42.85546875" style="248" customWidth="1"/>
    <col min="1282" max="1282" width="11.140625" style="248" customWidth="1"/>
    <col min="1283" max="1283" width="13.42578125" style="248" customWidth="1"/>
    <col min="1284" max="1284" width="12.42578125" style="248" customWidth="1"/>
    <col min="1285" max="1285" width="12" style="248" customWidth="1"/>
    <col min="1286" max="1286" width="13.28515625" style="248" customWidth="1"/>
    <col min="1287" max="1287" width="9.140625" style="248"/>
    <col min="1288" max="1288" width="10.7109375" style="248" customWidth="1"/>
    <col min="1289" max="1290" width="9.140625" style="248"/>
    <col min="1291" max="1291" width="9.7109375" style="248" customWidth="1"/>
    <col min="1292" max="1292" width="9.140625" style="248"/>
    <col min="1293" max="1293" width="9.28515625" style="248" customWidth="1"/>
    <col min="1294" max="1294" width="9.5703125" style="248" bestFit="1" customWidth="1"/>
    <col min="1295" max="1536" width="9.140625" style="248"/>
    <col min="1537" max="1537" width="42.85546875" style="248" customWidth="1"/>
    <col min="1538" max="1538" width="11.140625" style="248" customWidth="1"/>
    <col min="1539" max="1539" width="13.42578125" style="248" customWidth="1"/>
    <col min="1540" max="1540" width="12.42578125" style="248" customWidth="1"/>
    <col min="1541" max="1541" width="12" style="248" customWidth="1"/>
    <col min="1542" max="1542" width="13.28515625" style="248" customWidth="1"/>
    <col min="1543" max="1543" width="9.140625" style="248"/>
    <col min="1544" max="1544" width="10.7109375" style="248" customWidth="1"/>
    <col min="1545" max="1546" width="9.140625" style="248"/>
    <col min="1547" max="1547" width="9.7109375" style="248" customWidth="1"/>
    <col min="1548" max="1548" width="9.140625" style="248"/>
    <col min="1549" max="1549" width="9.28515625" style="248" customWidth="1"/>
    <col min="1550" max="1550" width="9.5703125" style="248" bestFit="1" customWidth="1"/>
    <col min="1551" max="1792" width="9.140625" style="248"/>
    <col min="1793" max="1793" width="42.85546875" style="248" customWidth="1"/>
    <col min="1794" max="1794" width="11.140625" style="248" customWidth="1"/>
    <col min="1795" max="1795" width="13.42578125" style="248" customWidth="1"/>
    <col min="1796" max="1796" width="12.42578125" style="248" customWidth="1"/>
    <col min="1797" max="1797" width="12" style="248" customWidth="1"/>
    <col min="1798" max="1798" width="13.28515625" style="248" customWidth="1"/>
    <col min="1799" max="1799" width="9.140625" style="248"/>
    <col min="1800" max="1800" width="10.7109375" style="248" customWidth="1"/>
    <col min="1801" max="1802" width="9.140625" style="248"/>
    <col min="1803" max="1803" width="9.7109375" style="248" customWidth="1"/>
    <col min="1804" max="1804" width="9.140625" style="248"/>
    <col min="1805" max="1805" width="9.28515625" style="248" customWidth="1"/>
    <col min="1806" max="1806" width="9.5703125" style="248" bestFit="1" customWidth="1"/>
    <col min="1807" max="2048" width="9.140625" style="248"/>
    <col min="2049" max="2049" width="42.85546875" style="248" customWidth="1"/>
    <col min="2050" max="2050" width="11.140625" style="248" customWidth="1"/>
    <col min="2051" max="2051" width="13.42578125" style="248" customWidth="1"/>
    <col min="2052" max="2052" width="12.42578125" style="248" customWidth="1"/>
    <col min="2053" max="2053" width="12" style="248" customWidth="1"/>
    <col min="2054" max="2054" width="13.28515625" style="248" customWidth="1"/>
    <col min="2055" max="2055" width="9.140625" style="248"/>
    <col min="2056" max="2056" width="10.7109375" style="248" customWidth="1"/>
    <col min="2057" max="2058" width="9.140625" style="248"/>
    <col min="2059" max="2059" width="9.7109375" style="248" customWidth="1"/>
    <col min="2060" max="2060" width="9.140625" style="248"/>
    <col min="2061" max="2061" width="9.28515625" style="248" customWidth="1"/>
    <col min="2062" max="2062" width="9.5703125" style="248" bestFit="1" customWidth="1"/>
    <col min="2063" max="2304" width="9.140625" style="248"/>
    <col min="2305" max="2305" width="42.85546875" style="248" customWidth="1"/>
    <col min="2306" max="2306" width="11.140625" style="248" customWidth="1"/>
    <col min="2307" max="2307" width="13.42578125" style="248" customWidth="1"/>
    <col min="2308" max="2308" width="12.42578125" style="248" customWidth="1"/>
    <col min="2309" max="2309" width="12" style="248" customWidth="1"/>
    <col min="2310" max="2310" width="13.28515625" style="248" customWidth="1"/>
    <col min="2311" max="2311" width="9.140625" style="248"/>
    <col min="2312" max="2312" width="10.7109375" style="248" customWidth="1"/>
    <col min="2313" max="2314" width="9.140625" style="248"/>
    <col min="2315" max="2315" width="9.7109375" style="248" customWidth="1"/>
    <col min="2316" max="2316" width="9.140625" style="248"/>
    <col min="2317" max="2317" width="9.28515625" style="248" customWidth="1"/>
    <col min="2318" max="2318" width="9.5703125" style="248" bestFit="1" customWidth="1"/>
    <col min="2319" max="2560" width="9.140625" style="248"/>
    <col min="2561" max="2561" width="42.85546875" style="248" customWidth="1"/>
    <col min="2562" max="2562" width="11.140625" style="248" customWidth="1"/>
    <col min="2563" max="2563" width="13.42578125" style="248" customWidth="1"/>
    <col min="2564" max="2564" width="12.42578125" style="248" customWidth="1"/>
    <col min="2565" max="2565" width="12" style="248" customWidth="1"/>
    <col min="2566" max="2566" width="13.28515625" style="248" customWidth="1"/>
    <col min="2567" max="2567" width="9.140625" style="248"/>
    <col min="2568" max="2568" width="10.7109375" style="248" customWidth="1"/>
    <col min="2569" max="2570" width="9.140625" style="248"/>
    <col min="2571" max="2571" width="9.7109375" style="248" customWidth="1"/>
    <col min="2572" max="2572" width="9.140625" style="248"/>
    <col min="2573" max="2573" width="9.28515625" style="248" customWidth="1"/>
    <col min="2574" max="2574" width="9.5703125" style="248" bestFit="1" customWidth="1"/>
    <col min="2575" max="2816" width="9.140625" style="248"/>
    <col min="2817" max="2817" width="42.85546875" style="248" customWidth="1"/>
    <col min="2818" max="2818" width="11.140625" style="248" customWidth="1"/>
    <col min="2819" max="2819" width="13.42578125" style="248" customWidth="1"/>
    <col min="2820" max="2820" width="12.42578125" style="248" customWidth="1"/>
    <col min="2821" max="2821" width="12" style="248" customWidth="1"/>
    <col min="2822" max="2822" width="13.28515625" style="248" customWidth="1"/>
    <col min="2823" max="2823" width="9.140625" style="248"/>
    <col min="2824" max="2824" width="10.7109375" style="248" customWidth="1"/>
    <col min="2825" max="2826" width="9.140625" style="248"/>
    <col min="2827" max="2827" width="9.7109375" style="248" customWidth="1"/>
    <col min="2828" max="2828" width="9.140625" style="248"/>
    <col min="2829" max="2829" width="9.28515625" style="248" customWidth="1"/>
    <col min="2830" max="2830" width="9.5703125" style="248" bestFit="1" customWidth="1"/>
    <col min="2831" max="3072" width="9.140625" style="248"/>
    <col min="3073" max="3073" width="42.85546875" style="248" customWidth="1"/>
    <col min="3074" max="3074" width="11.140625" style="248" customWidth="1"/>
    <col min="3075" max="3075" width="13.42578125" style="248" customWidth="1"/>
    <col min="3076" max="3076" width="12.42578125" style="248" customWidth="1"/>
    <col min="3077" max="3077" width="12" style="248" customWidth="1"/>
    <col min="3078" max="3078" width="13.28515625" style="248" customWidth="1"/>
    <col min="3079" max="3079" width="9.140625" style="248"/>
    <col min="3080" max="3080" width="10.7109375" style="248" customWidth="1"/>
    <col min="3081" max="3082" width="9.140625" style="248"/>
    <col min="3083" max="3083" width="9.7109375" style="248" customWidth="1"/>
    <col min="3084" max="3084" width="9.140625" style="248"/>
    <col min="3085" max="3085" width="9.28515625" style="248" customWidth="1"/>
    <col min="3086" max="3086" width="9.5703125" style="248" bestFit="1" customWidth="1"/>
    <col min="3087" max="3328" width="9.140625" style="248"/>
    <col min="3329" max="3329" width="42.85546875" style="248" customWidth="1"/>
    <col min="3330" max="3330" width="11.140625" style="248" customWidth="1"/>
    <col min="3331" max="3331" width="13.42578125" style="248" customWidth="1"/>
    <col min="3332" max="3332" width="12.42578125" style="248" customWidth="1"/>
    <col min="3333" max="3333" width="12" style="248" customWidth="1"/>
    <col min="3334" max="3334" width="13.28515625" style="248" customWidth="1"/>
    <col min="3335" max="3335" width="9.140625" style="248"/>
    <col min="3336" max="3336" width="10.7109375" style="248" customWidth="1"/>
    <col min="3337" max="3338" width="9.140625" style="248"/>
    <col min="3339" max="3339" width="9.7109375" style="248" customWidth="1"/>
    <col min="3340" max="3340" width="9.140625" style="248"/>
    <col min="3341" max="3341" width="9.28515625" style="248" customWidth="1"/>
    <col min="3342" max="3342" width="9.5703125" style="248" bestFit="1" customWidth="1"/>
    <col min="3343" max="3584" width="9.140625" style="248"/>
    <col min="3585" max="3585" width="42.85546875" style="248" customWidth="1"/>
    <col min="3586" max="3586" width="11.140625" style="248" customWidth="1"/>
    <col min="3587" max="3587" width="13.42578125" style="248" customWidth="1"/>
    <col min="3588" max="3588" width="12.42578125" style="248" customWidth="1"/>
    <col min="3589" max="3589" width="12" style="248" customWidth="1"/>
    <col min="3590" max="3590" width="13.28515625" style="248" customWidth="1"/>
    <col min="3591" max="3591" width="9.140625" style="248"/>
    <col min="3592" max="3592" width="10.7109375" style="248" customWidth="1"/>
    <col min="3593" max="3594" width="9.140625" style="248"/>
    <col min="3595" max="3595" width="9.7109375" style="248" customWidth="1"/>
    <col min="3596" max="3596" width="9.140625" style="248"/>
    <col min="3597" max="3597" width="9.28515625" style="248" customWidth="1"/>
    <col min="3598" max="3598" width="9.5703125" style="248" bestFit="1" customWidth="1"/>
    <col min="3599" max="3840" width="9.140625" style="248"/>
    <col min="3841" max="3841" width="42.85546875" style="248" customWidth="1"/>
    <col min="3842" max="3842" width="11.140625" style="248" customWidth="1"/>
    <col min="3843" max="3843" width="13.42578125" style="248" customWidth="1"/>
    <col min="3844" max="3844" width="12.42578125" style="248" customWidth="1"/>
    <col min="3845" max="3845" width="12" style="248" customWidth="1"/>
    <col min="3846" max="3846" width="13.28515625" style="248" customWidth="1"/>
    <col min="3847" max="3847" width="9.140625" style="248"/>
    <col min="3848" max="3848" width="10.7109375" style="248" customWidth="1"/>
    <col min="3849" max="3850" width="9.140625" style="248"/>
    <col min="3851" max="3851" width="9.7109375" style="248" customWidth="1"/>
    <col min="3852" max="3852" width="9.140625" style="248"/>
    <col min="3853" max="3853" width="9.28515625" style="248" customWidth="1"/>
    <col min="3854" max="3854" width="9.5703125" style="248" bestFit="1" customWidth="1"/>
    <col min="3855" max="4096" width="9.140625" style="248"/>
    <col min="4097" max="4097" width="42.85546875" style="248" customWidth="1"/>
    <col min="4098" max="4098" width="11.140625" style="248" customWidth="1"/>
    <col min="4099" max="4099" width="13.42578125" style="248" customWidth="1"/>
    <col min="4100" max="4100" width="12.42578125" style="248" customWidth="1"/>
    <col min="4101" max="4101" width="12" style="248" customWidth="1"/>
    <col min="4102" max="4102" width="13.28515625" style="248" customWidth="1"/>
    <col min="4103" max="4103" width="9.140625" style="248"/>
    <col min="4104" max="4104" width="10.7109375" style="248" customWidth="1"/>
    <col min="4105" max="4106" width="9.140625" style="248"/>
    <col min="4107" max="4107" width="9.7109375" style="248" customWidth="1"/>
    <col min="4108" max="4108" width="9.140625" style="248"/>
    <col min="4109" max="4109" width="9.28515625" style="248" customWidth="1"/>
    <col min="4110" max="4110" width="9.5703125" style="248" bestFit="1" customWidth="1"/>
    <col min="4111" max="4352" width="9.140625" style="248"/>
    <col min="4353" max="4353" width="42.85546875" style="248" customWidth="1"/>
    <col min="4354" max="4354" width="11.140625" style="248" customWidth="1"/>
    <col min="4355" max="4355" width="13.42578125" style="248" customWidth="1"/>
    <col min="4356" max="4356" width="12.42578125" style="248" customWidth="1"/>
    <col min="4357" max="4357" width="12" style="248" customWidth="1"/>
    <col min="4358" max="4358" width="13.28515625" style="248" customWidth="1"/>
    <col min="4359" max="4359" width="9.140625" style="248"/>
    <col min="4360" max="4360" width="10.7109375" style="248" customWidth="1"/>
    <col min="4361" max="4362" width="9.140625" style="248"/>
    <col min="4363" max="4363" width="9.7109375" style="248" customWidth="1"/>
    <col min="4364" max="4364" width="9.140625" style="248"/>
    <col min="4365" max="4365" width="9.28515625" style="248" customWidth="1"/>
    <col min="4366" max="4366" width="9.5703125" style="248" bestFit="1" customWidth="1"/>
    <col min="4367" max="4608" width="9.140625" style="248"/>
    <col min="4609" max="4609" width="42.85546875" style="248" customWidth="1"/>
    <col min="4610" max="4610" width="11.140625" style="248" customWidth="1"/>
    <col min="4611" max="4611" width="13.42578125" style="248" customWidth="1"/>
    <col min="4612" max="4612" width="12.42578125" style="248" customWidth="1"/>
    <col min="4613" max="4613" width="12" style="248" customWidth="1"/>
    <col min="4614" max="4614" width="13.28515625" style="248" customWidth="1"/>
    <col min="4615" max="4615" width="9.140625" style="248"/>
    <col min="4616" max="4616" width="10.7109375" style="248" customWidth="1"/>
    <col min="4617" max="4618" width="9.140625" style="248"/>
    <col min="4619" max="4619" width="9.7109375" style="248" customWidth="1"/>
    <col min="4620" max="4620" width="9.140625" style="248"/>
    <col min="4621" max="4621" width="9.28515625" style="248" customWidth="1"/>
    <col min="4622" max="4622" width="9.5703125" style="248" bestFit="1" customWidth="1"/>
    <col min="4623" max="4864" width="9.140625" style="248"/>
    <col min="4865" max="4865" width="42.85546875" style="248" customWidth="1"/>
    <col min="4866" max="4866" width="11.140625" style="248" customWidth="1"/>
    <col min="4867" max="4867" width="13.42578125" style="248" customWidth="1"/>
    <col min="4868" max="4868" width="12.42578125" style="248" customWidth="1"/>
    <col min="4869" max="4869" width="12" style="248" customWidth="1"/>
    <col min="4870" max="4870" width="13.28515625" style="248" customWidth="1"/>
    <col min="4871" max="4871" width="9.140625" style="248"/>
    <col min="4872" max="4872" width="10.7109375" style="248" customWidth="1"/>
    <col min="4873" max="4874" width="9.140625" style="248"/>
    <col min="4875" max="4875" width="9.7109375" style="248" customWidth="1"/>
    <col min="4876" max="4876" width="9.140625" style="248"/>
    <col min="4877" max="4877" width="9.28515625" style="248" customWidth="1"/>
    <col min="4878" max="4878" width="9.5703125" style="248" bestFit="1" customWidth="1"/>
    <col min="4879" max="5120" width="9.140625" style="248"/>
    <col min="5121" max="5121" width="42.85546875" style="248" customWidth="1"/>
    <col min="5122" max="5122" width="11.140625" style="248" customWidth="1"/>
    <col min="5123" max="5123" width="13.42578125" style="248" customWidth="1"/>
    <col min="5124" max="5124" width="12.42578125" style="248" customWidth="1"/>
    <col min="5125" max="5125" width="12" style="248" customWidth="1"/>
    <col min="5126" max="5126" width="13.28515625" style="248" customWidth="1"/>
    <col min="5127" max="5127" width="9.140625" style="248"/>
    <col min="5128" max="5128" width="10.7109375" style="248" customWidth="1"/>
    <col min="5129" max="5130" width="9.140625" style="248"/>
    <col min="5131" max="5131" width="9.7109375" style="248" customWidth="1"/>
    <col min="5132" max="5132" width="9.140625" style="248"/>
    <col min="5133" max="5133" width="9.28515625" style="248" customWidth="1"/>
    <col min="5134" max="5134" width="9.5703125" style="248" bestFit="1" customWidth="1"/>
    <col min="5135" max="5376" width="9.140625" style="248"/>
    <col min="5377" max="5377" width="42.85546875" style="248" customWidth="1"/>
    <col min="5378" max="5378" width="11.140625" style="248" customWidth="1"/>
    <col min="5379" max="5379" width="13.42578125" style="248" customWidth="1"/>
    <col min="5380" max="5380" width="12.42578125" style="248" customWidth="1"/>
    <col min="5381" max="5381" width="12" style="248" customWidth="1"/>
    <col min="5382" max="5382" width="13.28515625" style="248" customWidth="1"/>
    <col min="5383" max="5383" width="9.140625" style="248"/>
    <col min="5384" max="5384" width="10.7109375" style="248" customWidth="1"/>
    <col min="5385" max="5386" width="9.140625" style="248"/>
    <col min="5387" max="5387" width="9.7109375" style="248" customWidth="1"/>
    <col min="5388" max="5388" width="9.140625" style="248"/>
    <col min="5389" max="5389" width="9.28515625" style="248" customWidth="1"/>
    <col min="5390" max="5390" width="9.5703125" style="248" bestFit="1" customWidth="1"/>
    <col min="5391" max="5632" width="9.140625" style="248"/>
    <col min="5633" max="5633" width="42.85546875" style="248" customWidth="1"/>
    <col min="5634" max="5634" width="11.140625" style="248" customWidth="1"/>
    <col min="5635" max="5635" width="13.42578125" style="248" customWidth="1"/>
    <col min="5636" max="5636" width="12.42578125" style="248" customWidth="1"/>
    <col min="5637" max="5637" width="12" style="248" customWidth="1"/>
    <col min="5638" max="5638" width="13.28515625" style="248" customWidth="1"/>
    <col min="5639" max="5639" width="9.140625" style="248"/>
    <col min="5640" max="5640" width="10.7109375" style="248" customWidth="1"/>
    <col min="5641" max="5642" width="9.140625" style="248"/>
    <col min="5643" max="5643" width="9.7109375" style="248" customWidth="1"/>
    <col min="5644" max="5644" width="9.140625" style="248"/>
    <col min="5645" max="5645" width="9.28515625" style="248" customWidth="1"/>
    <col min="5646" max="5646" width="9.5703125" style="248" bestFit="1" customWidth="1"/>
    <col min="5647" max="5888" width="9.140625" style="248"/>
    <col min="5889" max="5889" width="42.85546875" style="248" customWidth="1"/>
    <col min="5890" max="5890" width="11.140625" style="248" customWidth="1"/>
    <col min="5891" max="5891" width="13.42578125" style="248" customWidth="1"/>
    <col min="5892" max="5892" width="12.42578125" style="248" customWidth="1"/>
    <col min="5893" max="5893" width="12" style="248" customWidth="1"/>
    <col min="5894" max="5894" width="13.28515625" style="248" customWidth="1"/>
    <col min="5895" max="5895" width="9.140625" style="248"/>
    <col min="5896" max="5896" width="10.7109375" style="248" customWidth="1"/>
    <col min="5897" max="5898" width="9.140625" style="248"/>
    <col min="5899" max="5899" width="9.7109375" style="248" customWidth="1"/>
    <col min="5900" max="5900" width="9.140625" style="248"/>
    <col min="5901" max="5901" width="9.28515625" style="248" customWidth="1"/>
    <col min="5902" max="5902" width="9.5703125" style="248" bestFit="1" customWidth="1"/>
    <col min="5903" max="6144" width="9.140625" style="248"/>
    <col min="6145" max="6145" width="42.85546875" style="248" customWidth="1"/>
    <col min="6146" max="6146" width="11.140625" style="248" customWidth="1"/>
    <col min="6147" max="6147" width="13.42578125" style="248" customWidth="1"/>
    <col min="6148" max="6148" width="12.42578125" style="248" customWidth="1"/>
    <col min="6149" max="6149" width="12" style="248" customWidth="1"/>
    <col min="6150" max="6150" width="13.28515625" style="248" customWidth="1"/>
    <col min="6151" max="6151" width="9.140625" style="248"/>
    <col min="6152" max="6152" width="10.7109375" style="248" customWidth="1"/>
    <col min="6153" max="6154" width="9.140625" style="248"/>
    <col min="6155" max="6155" width="9.7109375" style="248" customWidth="1"/>
    <col min="6156" max="6156" width="9.140625" style="248"/>
    <col min="6157" max="6157" width="9.28515625" style="248" customWidth="1"/>
    <col min="6158" max="6158" width="9.5703125" style="248" bestFit="1" customWidth="1"/>
    <col min="6159" max="6400" width="9.140625" style="248"/>
    <col min="6401" max="6401" width="42.85546875" style="248" customWidth="1"/>
    <col min="6402" max="6402" width="11.140625" style="248" customWidth="1"/>
    <col min="6403" max="6403" width="13.42578125" style="248" customWidth="1"/>
    <col min="6404" max="6404" width="12.42578125" style="248" customWidth="1"/>
    <col min="6405" max="6405" width="12" style="248" customWidth="1"/>
    <col min="6406" max="6406" width="13.28515625" style="248" customWidth="1"/>
    <col min="6407" max="6407" width="9.140625" style="248"/>
    <col min="6408" max="6408" width="10.7109375" style="248" customWidth="1"/>
    <col min="6409" max="6410" width="9.140625" style="248"/>
    <col min="6411" max="6411" width="9.7109375" style="248" customWidth="1"/>
    <col min="6412" max="6412" width="9.140625" style="248"/>
    <col min="6413" max="6413" width="9.28515625" style="248" customWidth="1"/>
    <col min="6414" max="6414" width="9.5703125" style="248" bestFit="1" customWidth="1"/>
    <col min="6415" max="6656" width="9.140625" style="248"/>
    <col min="6657" max="6657" width="42.85546875" style="248" customWidth="1"/>
    <col min="6658" max="6658" width="11.140625" style="248" customWidth="1"/>
    <col min="6659" max="6659" width="13.42578125" style="248" customWidth="1"/>
    <col min="6660" max="6660" width="12.42578125" style="248" customWidth="1"/>
    <col min="6661" max="6661" width="12" style="248" customWidth="1"/>
    <col min="6662" max="6662" width="13.28515625" style="248" customWidth="1"/>
    <col min="6663" max="6663" width="9.140625" style="248"/>
    <col min="6664" max="6664" width="10.7109375" style="248" customWidth="1"/>
    <col min="6665" max="6666" width="9.140625" style="248"/>
    <col min="6667" max="6667" width="9.7109375" style="248" customWidth="1"/>
    <col min="6668" max="6668" width="9.140625" style="248"/>
    <col min="6669" max="6669" width="9.28515625" style="248" customWidth="1"/>
    <col min="6670" max="6670" width="9.5703125" style="248" bestFit="1" customWidth="1"/>
    <col min="6671" max="6912" width="9.140625" style="248"/>
    <col min="6913" max="6913" width="42.85546875" style="248" customWidth="1"/>
    <col min="6914" max="6914" width="11.140625" style="248" customWidth="1"/>
    <col min="6915" max="6915" width="13.42578125" style="248" customWidth="1"/>
    <col min="6916" max="6916" width="12.42578125" style="248" customWidth="1"/>
    <col min="6917" max="6917" width="12" style="248" customWidth="1"/>
    <col min="6918" max="6918" width="13.28515625" style="248" customWidth="1"/>
    <col min="6919" max="6919" width="9.140625" style="248"/>
    <col min="6920" max="6920" width="10.7109375" style="248" customWidth="1"/>
    <col min="6921" max="6922" width="9.140625" style="248"/>
    <col min="6923" max="6923" width="9.7109375" style="248" customWidth="1"/>
    <col min="6924" max="6924" width="9.140625" style="248"/>
    <col min="6925" max="6925" width="9.28515625" style="248" customWidth="1"/>
    <col min="6926" max="6926" width="9.5703125" style="248" bestFit="1" customWidth="1"/>
    <col min="6927" max="7168" width="9.140625" style="248"/>
    <col min="7169" max="7169" width="42.85546875" style="248" customWidth="1"/>
    <col min="7170" max="7170" width="11.140625" style="248" customWidth="1"/>
    <col min="7171" max="7171" width="13.42578125" style="248" customWidth="1"/>
    <col min="7172" max="7172" width="12.42578125" style="248" customWidth="1"/>
    <col min="7173" max="7173" width="12" style="248" customWidth="1"/>
    <col min="7174" max="7174" width="13.28515625" style="248" customWidth="1"/>
    <col min="7175" max="7175" width="9.140625" style="248"/>
    <col min="7176" max="7176" width="10.7109375" style="248" customWidth="1"/>
    <col min="7177" max="7178" width="9.140625" style="248"/>
    <col min="7179" max="7179" width="9.7109375" style="248" customWidth="1"/>
    <col min="7180" max="7180" width="9.140625" style="248"/>
    <col min="7181" max="7181" width="9.28515625" style="248" customWidth="1"/>
    <col min="7182" max="7182" width="9.5703125" style="248" bestFit="1" customWidth="1"/>
    <col min="7183" max="7424" width="9.140625" style="248"/>
    <col min="7425" max="7425" width="42.85546875" style="248" customWidth="1"/>
    <col min="7426" max="7426" width="11.140625" style="248" customWidth="1"/>
    <col min="7427" max="7427" width="13.42578125" style="248" customWidth="1"/>
    <col min="7428" max="7428" width="12.42578125" style="248" customWidth="1"/>
    <col min="7429" max="7429" width="12" style="248" customWidth="1"/>
    <col min="7430" max="7430" width="13.28515625" style="248" customWidth="1"/>
    <col min="7431" max="7431" width="9.140625" style="248"/>
    <col min="7432" max="7432" width="10.7109375" style="248" customWidth="1"/>
    <col min="7433" max="7434" width="9.140625" style="248"/>
    <col min="7435" max="7435" width="9.7109375" style="248" customWidth="1"/>
    <col min="7436" max="7436" width="9.140625" style="248"/>
    <col min="7437" max="7437" width="9.28515625" style="248" customWidth="1"/>
    <col min="7438" max="7438" width="9.5703125" style="248" bestFit="1" customWidth="1"/>
    <col min="7439" max="7680" width="9.140625" style="248"/>
    <col min="7681" max="7681" width="42.85546875" style="248" customWidth="1"/>
    <col min="7682" max="7682" width="11.140625" style="248" customWidth="1"/>
    <col min="7683" max="7683" width="13.42578125" style="248" customWidth="1"/>
    <col min="7684" max="7684" width="12.42578125" style="248" customWidth="1"/>
    <col min="7685" max="7685" width="12" style="248" customWidth="1"/>
    <col min="7686" max="7686" width="13.28515625" style="248" customWidth="1"/>
    <col min="7687" max="7687" width="9.140625" style="248"/>
    <col min="7688" max="7688" width="10.7109375" style="248" customWidth="1"/>
    <col min="7689" max="7690" width="9.140625" style="248"/>
    <col min="7691" max="7691" width="9.7109375" style="248" customWidth="1"/>
    <col min="7692" max="7692" width="9.140625" style="248"/>
    <col min="7693" max="7693" width="9.28515625" style="248" customWidth="1"/>
    <col min="7694" max="7694" width="9.5703125" style="248" bestFit="1" customWidth="1"/>
    <col min="7695" max="7936" width="9.140625" style="248"/>
    <col min="7937" max="7937" width="42.85546875" style="248" customWidth="1"/>
    <col min="7938" max="7938" width="11.140625" style="248" customWidth="1"/>
    <col min="7939" max="7939" width="13.42578125" style="248" customWidth="1"/>
    <col min="7940" max="7940" width="12.42578125" style="248" customWidth="1"/>
    <col min="7941" max="7941" width="12" style="248" customWidth="1"/>
    <col min="7942" max="7942" width="13.28515625" style="248" customWidth="1"/>
    <col min="7943" max="7943" width="9.140625" style="248"/>
    <col min="7944" max="7944" width="10.7109375" style="248" customWidth="1"/>
    <col min="7945" max="7946" width="9.140625" style="248"/>
    <col min="7947" max="7947" width="9.7109375" style="248" customWidth="1"/>
    <col min="7948" max="7948" width="9.140625" style="248"/>
    <col min="7949" max="7949" width="9.28515625" style="248" customWidth="1"/>
    <col min="7950" max="7950" width="9.5703125" style="248" bestFit="1" customWidth="1"/>
    <col min="7951" max="8192" width="9.140625" style="248"/>
    <col min="8193" max="8193" width="42.85546875" style="248" customWidth="1"/>
    <col min="8194" max="8194" width="11.140625" style="248" customWidth="1"/>
    <col min="8195" max="8195" width="13.42578125" style="248" customWidth="1"/>
    <col min="8196" max="8196" width="12.42578125" style="248" customWidth="1"/>
    <col min="8197" max="8197" width="12" style="248" customWidth="1"/>
    <col min="8198" max="8198" width="13.28515625" style="248" customWidth="1"/>
    <col min="8199" max="8199" width="9.140625" style="248"/>
    <col min="8200" max="8200" width="10.7109375" style="248" customWidth="1"/>
    <col min="8201" max="8202" width="9.140625" style="248"/>
    <col min="8203" max="8203" width="9.7109375" style="248" customWidth="1"/>
    <col min="8204" max="8204" width="9.140625" style="248"/>
    <col min="8205" max="8205" width="9.28515625" style="248" customWidth="1"/>
    <col min="8206" max="8206" width="9.5703125" style="248" bestFit="1" customWidth="1"/>
    <col min="8207" max="8448" width="9.140625" style="248"/>
    <col min="8449" max="8449" width="42.85546875" style="248" customWidth="1"/>
    <col min="8450" max="8450" width="11.140625" style="248" customWidth="1"/>
    <col min="8451" max="8451" width="13.42578125" style="248" customWidth="1"/>
    <col min="8452" max="8452" width="12.42578125" style="248" customWidth="1"/>
    <col min="8453" max="8453" width="12" style="248" customWidth="1"/>
    <col min="8454" max="8454" width="13.28515625" style="248" customWidth="1"/>
    <col min="8455" max="8455" width="9.140625" style="248"/>
    <col min="8456" max="8456" width="10.7109375" style="248" customWidth="1"/>
    <col min="8457" max="8458" width="9.140625" style="248"/>
    <col min="8459" max="8459" width="9.7109375" style="248" customWidth="1"/>
    <col min="8460" max="8460" width="9.140625" style="248"/>
    <col min="8461" max="8461" width="9.28515625" style="248" customWidth="1"/>
    <col min="8462" max="8462" width="9.5703125" style="248" bestFit="1" customWidth="1"/>
    <col min="8463" max="8704" width="9.140625" style="248"/>
    <col min="8705" max="8705" width="42.85546875" style="248" customWidth="1"/>
    <col min="8706" max="8706" width="11.140625" style="248" customWidth="1"/>
    <col min="8707" max="8707" width="13.42578125" style="248" customWidth="1"/>
    <col min="8708" max="8708" width="12.42578125" style="248" customWidth="1"/>
    <col min="8709" max="8709" width="12" style="248" customWidth="1"/>
    <col min="8710" max="8710" width="13.28515625" style="248" customWidth="1"/>
    <col min="8711" max="8711" width="9.140625" style="248"/>
    <col min="8712" max="8712" width="10.7109375" style="248" customWidth="1"/>
    <col min="8713" max="8714" width="9.140625" style="248"/>
    <col min="8715" max="8715" width="9.7109375" style="248" customWidth="1"/>
    <col min="8716" max="8716" width="9.140625" style="248"/>
    <col min="8717" max="8717" width="9.28515625" style="248" customWidth="1"/>
    <col min="8718" max="8718" width="9.5703125" style="248" bestFit="1" customWidth="1"/>
    <col min="8719" max="8960" width="9.140625" style="248"/>
    <col min="8961" max="8961" width="42.85546875" style="248" customWidth="1"/>
    <col min="8962" max="8962" width="11.140625" style="248" customWidth="1"/>
    <col min="8963" max="8963" width="13.42578125" style="248" customWidth="1"/>
    <col min="8964" max="8964" width="12.42578125" style="248" customWidth="1"/>
    <col min="8965" max="8965" width="12" style="248" customWidth="1"/>
    <col min="8966" max="8966" width="13.28515625" style="248" customWidth="1"/>
    <col min="8967" max="8967" width="9.140625" style="248"/>
    <col min="8968" max="8968" width="10.7109375" style="248" customWidth="1"/>
    <col min="8969" max="8970" width="9.140625" style="248"/>
    <col min="8971" max="8971" width="9.7109375" style="248" customWidth="1"/>
    <col min="8972" max="8972" width="9.140625" style="248"/>
    <col min="8973" max="8973" width="9.28515625" style="248" customWidth="1"/>
    <col min="8974" max="8974" width="9.5703125" style="248" bestFit="1" customWidth="1"/>
    <col min="8975" max="9216" width="9.140625" style="248"/>
    <col min="9217" max="9217" width="42.85546875" style="248" customWidth="1"/>
    <col min="9218" max="9218" width="11.140625" style="248" customWidth="1"/>
    <col min="9219" max="9219" width="13.42578125" style="248" customWidth="1"/>
    <col min="9220" max="9220" width="12.42578125" style="248" customWidth="1"/>
    <col min="9221" max="9221" width="12" style="248" customWidth="1"/>
    <col min="9222" max="9222" width="13.28515625" style="248" customWidth="1"/>
    <col min="9223" max="9223" width="9.140625" style="248"/>
    <col min="9224" max="9224" width="10.7109375" style="248" customWidth="1"/>
    <col min="9225" max="9226" width="9.140625" style="248"/>
    <col min="9227" max="9227" width="9.7109375" style="248" customWidth="1"/>
    <col min="9228" max="9228" width="9.140625" style="248"/>
    <col min="9229" max="9229" width="9.28515625" style="248" customWidth="1"/>
    <col min="9230" max="9230" width="9.5703125" style="248" bestFit="1" customWidth="1"/>
    <col min="9231" max="9472" width="9.140625" style="248"/>
    <col min="9473" max="9473" width="42.85546875" style="248" customWidth="1"/>
    <col min="9474" max="9474" width="11.140625" style="248" customWidth="1"/>
    <col min="9475" max="9475" width="13.42578125" style="248" customWidth="1"/>
    <col min="9476" max="9476" width="12.42578125" style="248" customWidth="1"/>
    <col min="9477" max="9477" width="12" style="248" customWidth="1"/>
    <col min="9478" max="9478" width="13.28515625" style="248" customWidth="1"/>
    <col min="9479" max="9479" width="9.140625" style="248"/>
    <col min="9480" max="9480" width="10.7109375" style="248" customWidth="1"/>
    <col min="9481" max="9482" width="9.140625" style="248"/>
    <col min="9483" max="9483" width="9.7109375" style="248" customWidth="1"/>
    <col min="9484" max="9484" width="9.140625" style="248"/>
    <col min="9485" max="9485" width="9.28515625" style="248" customWidth="1"/>
    <col min="9486" max="9486" width="9.5703125" style="248" bestFit="1" customWidth="1"/>
    <col min="9487" max="9728" width="9.140625" style="248"/>
    <col min="9729" max="9729" width="42.85546875" style="248" customWidth="1"/>
    <col min="9730" max="9730" width="11.140625" style="248" customWidth="1"/>
    <col min="9731" max="9731" width="13.42578125" style="248" customWidth="1"/>
    <col min="9732" max="9732" width="12.42578125" style="248" customWidth="1"/>
    <col min="9733" max="9733" width="12" style="248" customWidth="1"/>
    <col min="9734" max="9734" width="13.28515625" style="248" customWidth="1"/>
    <col min="9735" max="9735" width="9.140625" style="248"/>
    <col min="9736" max="9736" width="10.7109375" style="248" customWidth="1"/>
    <col min="9737" max="9738" width="9.140625" style="248"/>
    <col min="9739" max="9739" width="9.7109375" style="248" customWidth="1"/>
    <col min="9740" max="9740" width="9.140625" style="248"/>
    <col min="9741" max="9741" width="9.28515625" style="248" customWidth="1"/>
    <col min="9742" max="9742" width="9.5703125" style="248" bestFit="1" customWidth="1"/>
    <col min="9743" max="9984" width="9.140625" style="248"/>
    <col min="9985" max="9985" width="42.85546875" style="248" customWidth="1"/>
    <col min="9986" max="9986" width="11.140625" style="248" customWidth="1"/>
    <col min="9987" max="9987" width="13.42578125" style="248" customWidth="1"/>
    <col min="9988" max="9988" width="12.42578125" style="248" customWidth="1"/>
    <col min="9989" max="9989" width="12" style="248" customWidth="1"/>
    <col min="9990" max="9990" width="13.28515625" style="248" customWidth="1"/>
    <col min="9991" max="9991" width="9.140625" style="248"/>
    <col min="9992" max="9992" width="10.7109375" style="248" customWidth="1"/>
    <col min="9993" max="9994" width="9.140625" style="248"/>
    <col min="9995" max="9995" width="9.7109375" style="248" customWidth="1"/>
    <col min="9996" max="9996" width="9.140625" style="248"/>
    <col min="9997" max="9997" width="9.28515625" style="248" customWidth="1"/>
    <col min="9998" max="9998" width="9.5703125" style="248" bestFit="1" customWidth="1"/>
    <col min="9999" max="10240" width="9.140625" style="248"/>
    <col min="10241" max="10241" width="42.85546875" style="248" customWidth="1"/>
    <col min="10242" max="10242" width="11.140625" style="248" customWidth="1"/>
    <col min="10243" max="10243" width="13.42578125" style="248" customWidth="1"/>
    <col min="10244" max="10244" width="12.42578125" style="248" customWidth="1"/>
    <col min="10245" max="10245" width="12" style="248" customWidth="1"/>
    <col min="10246" max="10246" width="13.28515625" style="248" customWidth="1"/>
    <col min="10247" max="10247" width="9.140625" style="248"/>
    <col min="10248" max="10248" width="10.7109375" style="248" customWidth="1"/>
    <col min="10249" max="10250" width="9.140625" style="248"/>
    <col min="10251" max="10251" width="9.7109375" style="248" customWidth="1"/>
    <col min="10252" max="10252" width="9.140625" style="248"/>
    <col min="10253" max="10253" width="9.28515625" style="248" customWidth="1"/>
    <col min="10254" max="10254" width="9.5703125" style="248" bestFit="1" customWidth="1"/>
    <col min="10255" max="10496" width="9.140625" style="248"/>
    <col min="10497" max="10497" width="42.85546875" style="248" customWidth="1"/>
    <col min="10498" max="10498" width="11.140625" style="248" customWidth="1"/>
    <col min="10499" max="10499" width="13.42578125" style="248" customWidth="1"/>
    <col min="10500" max="10500" width="12.42578125" style="248" customWidth="1"/>
    <col min="10501" max="10501" width="12" style="248" customWidth="1"/>
    <col min="10502" max="10502" width="13.28515625" style="248" customWidth="1"/>
    <col min="10503" max="10503" width="9.140625" style="248"/>
    <col min="10504" max="10504" width="10.7109375" style="248" customWidth="1"/>
    <col min="10505" max="10506" width="9.140625" style="248"/>
    <col min="10507" max="10507" width="9.7109375" style="248" customWidth="1"/>
    <col min="10508" max="10508" width="9.140625" style="248"/>
    <col min="10509" max="10509" width="9.28515625" style="248" customWidth="1"/>
    <col min="10510" max="10510" width="9.5703125" style="248" bestFit="1" customWidth="1"/>
    <col min="10511" max="10752" width="9.140625" style="248"/>
    <col min="10753" max="10753" width="42.85546875" style="248" customWidth="1"/>
    <col min="10754" max="10754" width="11.140625" style="248" customWidth="1"/>
    <col min="10755" max="10755" width="13.42578125" style="248" customWidth="1"/>
    <col min="10756" max="10756" width="12.42578125" style="248" customWidth="1"/>
    <col min="10757" max="10757" width="12" style="248" customWidth="1"/>
    <col min="10758" max="10758" width="13.28515625" style="248" customWidth="1"/>
    <col min="10759" max="10759" width="9.140625" style="248"/>
    <col min="10760" max="10760" width="10.7109375" style="248" customWidth="1"/>
    <col min="10761" max="10762" width="9.140625" style="248"/>
    <col min="10763" max="10763" width="9.7109375" style="248" customWidth="1"/>
    <col min="10764" max="10764" width="9.140625" style="248"/>
    <col min="10765" max="10765" width="9.28515625" style="248" customWidth="1"/>
    <col min="10766" max="10766" width="9.5703125" style="248" bestFit="1" customWidth="1"/>
    <col min="10767" max="11008" width="9.140625" style="248"/>
    <col min="11009" max="11009" width="42.85546875" style="248" customWidth="1"/>
    <col min="11010" max="11010" width="11.140625" style="248" customWidth="1"/>
    <col min="11011" max="11011" width="13.42578125" style="248" customWidth="1"/>
    <col min="11012" max="11012" width="12.42578125" style="248" customWidth="1"/>
    <col min="11013" max="11013" width="12" style="248" customWidth="1"/>
    <col min="11014" max="11014" width="13.28515625" style="248" customWidth="1"/>
    <col min="11015" max="11015" width="9.140625" style="248"/>
    <col min="11016" max="11016" width="10.7109375" style="248" customWidth="1"/>
    <col min="11017" max="11018" width="9.140625" style="248"/>
    <col min="11019" max="11019" width="9.7109375" style="248" customWidth="1"/>
    <col min="11020" max="11020" width="9.140625" style="248"/>
    <col min="11021" max="11021" width="9.28515625" style="248" customWidth="1"/>
    <col min="11022" max="11022" width="9.5703125" style="248" bestFit="1" customWidth="1"/>
    <col min="11023" max="11264" width="9.140625" style="248"/>
    <col min="11265" max="11265" width="42.85546875" style="248" customWidth="1"/>
    <col min="11266" max="11266" width="11.140625" style="248" customWidth="1"/>
    <col min="11267" max="11267" width="13.42578125" style="248" customWidth="1"/>
    <col min="11268" max="11268" width="12.42578125" style="248" customWidth="1"/>
    <col min="11269" max="11269" width="12" style="248" customWidth="1"/>
    <col min="11270" max="11270" width="13.28515625" style="248" customWidth="1"/>
    <col min="11271" max="11271" width="9.140625" style="248"/>
    <col min="11272" max="11272" width="10.7109375" style="248" customWidth="1"/>
    <col min="11273" max="11274" width="9.140625" style="248"/>
    <col min="11275" max="11275" width="9.7109375" style="248" customWidth="1"/>
    <col min="11276" max="11276" width="9.140625" style="248"/>
    <col min="11277" max="11277" width="9.28515625" style="248" customWidth="1"/>
    <col min="11278" max="11278" width="9.5703125" style="248" bestFit="1" customWidth="1"/>
    <col min="11279" max="11520" width="9.140625" style="248"/>
    <col min="11521" max="11521" width="42.85546875" style="248" customWidth="1"/>
    <col min="11522" max="11522" width="11.140625" style="248" customWidth="1"/>
    <col min="11523" max="11523" width="13.42578125" style="248" customWidth="1"/>
    <col min="11524" max="11524" width="12.42578125" style="248" customWidth="1"/>
    <col min="11525" max="11525" width="12" style="248" customWidth="1"/>
    <col min="11526" max="11526" width="13.28515625" style="248" customWidth="1"/>
    <col min="11527" max="11527" width="9.140625" style="248"/>
    <col min="11528" max="11528" width="10.7109375" style="248" customWidth="1"/>
    <col min="11529" max="11530" width="9.140625" style="248"/>
    <col min="11531" max="11531" width="9.7109375" style="248" customWidth="1"/>
    <col min="11532" max="11532" width="9.140625" style="248"/>
    <col min="11533" max="11533" width="9.28515625" style="248" customWidth="1"/>
    <col min="11534" max="11534" width="9.5703125" style="248" bestFit="1" customWidth="1"/>
    <col min="11535" max="11776" width="9.140625" style="248"/>
    <col min="11777" max="11777" width="42.85546875" style="248" customWidth="1"/>
    <col min="11778" max="11778" width="11.140625" style="248" customWidth="1"/>
    <col min="11779" max="11779" width="13.42578125" style="248" customWidth="1"/>
    <col min="11780" max="11780" width="12.42578125" style="248" customWidth="1"/>
    <col min="11781" max="11781" width="12" style="248" customWidth="1"/>
    <col min="11782" max="11782" width="13.28515625" style="248" customWidth="1"/>
    <col min="11783" max="11783" width="9.140625" style="248"/>
    <col min="11784" max="11784" width="10.7109375" style="248" customWidth="1"/>
    <col min="11785" max="11786" width="9.140625" style="248"/>
    <col min="11787" max="11787" width="9.7109375" style="248" customWidth="1"/>
    <col min="11788" max="11788" width="9.140625" style="248"/>
    <col min="11789" max="11789" width="9.28515625" style="248" customWidth="1"/>
    <col min="11790" max="11790" width="9.5703125" style="248" bestFit="1" customWidth="1"/>
    <col min="11791" max="12032" width="9.140625" style="248"/>
    <col min="12033" max="12033" width="42.85546875" style="248" customWidth="1"/>
    <col min="12034" max="12034" width="11.140625" style="248" customWidth="1"/>
    <col min="12035" max="12035" width="13.42578125" style="248" customWidth="1"/>
    <col min="12036" max="12036" width="12.42578125" style="248" customWidth="1"/>
    <col min="12037" max="12037" width="12" style="248" customWidth="1"/>
    <col min="12038" max="12038" width="13.28515625" style="248" customWidth="1"/>
    <col min="12039" max="12039" width="9.140625" style="248"/>
    <col min="12040" max="12040" width="10.7109375" style="248" customWidth="1"/>
    <col min="12041" max="12042" width="9.140625" style="248"/>
    <col min="12043" max="12043" width="9.7109375" style="248" customWidth="1"/>
    <col min="12044" max="12044" width="9.140625" style="248"/>
    <col min="12045" max="12045" width="9.28515625" style="248" customWidth="1"/>
    <col min="12046" max="12046" width="9.5703125" style="248" bestFit="1" customWidth="1"/>
    <col min="12047" max="12288" width="9.140625" style="248"/>
    <col min="12289" max="12289" width="42.85546875" style="248" customWidth="1"/>
    <col min="12290" max="12290" width="11.140625" style="248" customWidth="1"/>
    <col min="12291" max="12291" width="13.42578125" style="248" customWidth="1"/>
    <col min="12292" max="12292" width="12.42578125" style="248" customWidth="1"/>
    <col min="12293" max="12293" width="12" style="248" customWidth="1"/>
    <col min="12294" max="12294" width="13.28515625" style="248" customWidth="1"/>
    <col min="12295" max="12295" width="9.140625" style="248"/>
    <col min="12296" max="12296" width="10.7109375" style="248" customWidth="1"/>
    <col min="12297" max="12298" width="9.140625" style="248"/>
    <col min="12299" max="12299" width="9.7109375" style="248" customWidth="1"/>
    <col min="12300" max="12300" width="9.140625" style="248"/>
    <col min="12301" max="12301" width="9.28515625" style="248" customWidth="1"/>
    <col min="12302" max="12302" width="9.5703125" style="248" bestFit="1" customWidth="1"/>
    <col min="12303" max="12544" width="9.140625" style="248"/>
    <col min="12545" max="12545" width="42.85546875" style="248" customWidth="1"/>
    <col min="12546" max="12546" width="11.140625" style="248" customWidth="1"/>
    <col min="12547" max="12547" width="13.42578125" style="248" customWidth="1"/>
    <col min="12548" max="12548" width="12.42578125" style="248" customWidth="1"/>
    <col min="12549" max="12549" width="12" style="248" customWidth="1"/>
    <col min="12550" max="12550" width="13.28515625" style="248" customWidth="1"/>
    <col min="12551" max="12551" width="9.140625" style="248"/>
    <col min="12552" max="12552" width="10.7109375" style="248" customWidth="1"/>
    <col min="12553" max="12554" width="9.140625" style="248"/>
    <col min="12555" max="12555" width="9.7109375" style="248" customWidth="1"/>
    <col min="12556" max="12556" width="9.140625" style="248"/>
    <col min="12557" max="12557" width="9.28515625" style="248" customWidth="1"/>
    <col min="12558" max="12558" width="9.5703125" style="248" bestFit="1" customWidth="1"/>
    <col min="12559" max="12800" width="9.140625" style="248"/>
    <col min="12801" max="12801" width="42.85546875" style="248" customWidth="1"/>
    <col min="12802" max="12802" width="11.140625" style="248" customWidth="1"/>
    <col min="12803" max="12803" width="13.42578125" style="248" customWidth="1"/>
    <col min="12804" max="12804" width="12.42578125" style="248" customWidth="1"/>
    <col min="12805" max="12805" width="12" style="248" customWidth="1"/>
    <col min="12806" max="12806" width="13.28515625" style="248" customWidth="1"/>
    <col min="12807" max="12807" width="9.140625" style="248"/>
    <col min="12808" max="12808" width="10.7109375" style="248" customWidth="1"/>
    <col min="12809" max="12810" width="9.140625" style="248"/>
    <col min="12811" max="12811" width="9.7109375" style="248" customWidth="1"/>
    <col min="12812" max="12812" width="9.140625" style="248"/>
    <col min="12813" max="12813" width="9.28515625" style="248" customWidth="1"/>
    <col min="12814" max="12814" width="9.5703125" style="248" bestFit="1" customWidth="1"/>
    <col min="12815" max="13056" width="9.140625" style="248"/>
    <col min="13057" max="13057" width="42.85546875" style="248" customWidth="1"/>
    <col min="13058" max="13058" width="11.140625" style="248" customWidth="1"/>
    <col min="13059" max="13059" width="13.42578125" style="248" customWidth="1"/>
    <col min="13060" max="13060" width="12.42578125" style="248" customWidth="1"/>
    <col min="13061" max="13061" width="12" style="248" customWidth="1"/>
    <col min="13062" max="13062" width="13.28515625" style="248" customWidth="1"/>
    <col min="13063" max="13063" width="9.140625" style="248"/>
    <col min="13064" max="13064" width="10.7109375" style="248" customWidth="1"/>
    <col min="13065" max="13066" width="9.140625" style="248"/>
    <col min="13067" max="13067" width="9.7109375" style="248" customWidth="1"/>
    <col min="13068" max="13068" width="9.140625" style="248"/>
    <col min="13069" max="13069" width="9.28515625" style="248" customWidth="1"/>
    <col min="13070" max="13070" width="9.5703125" style="248" bestFit="1" customWidth="1"/>
    <col min="13071" max="13312" width="9.140625" style="248"/>
    <col min="13313" max="13313" width="42.85546875" style="248" customWidth="1"/>
    <col min="13314" max="13314" width="11.140625" style="248" customWidth="1"/>
    <col min="13315" max="13315" width="13.42578125" style="248" customWidth="1"/>
    <col min="13316" max="13316" width="12.42578125" style="248" customWidth="1"/>
    <col min="13317" max="13317" width="12" style="248" customWidth="1"/>
    <col min="13318" max="13318" width="13.28515625" style="248" customWidth="1"/>
    <col min="13319" max="13319" width="9.140625" style="248"/>
    <col min="13320" max="13320" width="10.7109375" style="248" customWidth="1"/>
    <col min="13321" max="13322" width="9.140625" style="248"/>
    <col min="13323" max="13323" width="9.7109375" style="248" customWidth="1"/>
    <col min="13324" max="13324" width="9.140625" style="248"/>
    <col min="13325" max="13325" width="9.28515625" style="248" customWidth="1"/>
    <col min="13326" max="13326" width="9.5703125" style="248" bestFit="1" customWidth="1"/>
    <col min="13327" max="13568" width="9.140625" style="248"/>
    <col min="13569" max="13569" width="42.85546875" style="248" customWidth="1"/>
    <col min="13570" max="13570" width="11.140625" style="248" customWidth="1"/>
    <col min="13571" max="13571" width="13.42578125" style="248" customWidth="1"/>
    <col min="13572" max="13572" width="12.42578125" style="248" customWidth="1"/>
    <col min="13573" max="13573" width="12" style="248" customWidth="1"/>
    <col min="13574" max="13574" width="13.28515625" style="248" customWidth="1"/>
    <col min="13575" max="13575" width="9.140625" style="248"/>
    <col min="13576" max="13576" width="10.7109375" style="248" customWidth="1"/>
    <col min="13577" max="13578" width="9.140625" style="248"/>
    <col min="13579" max="13579" width="9.7109375" style="248" customWidth="1"/>
    <col min="13580" max="13580" width="9.140625" style="248"/>
    <col min="13581" max="13581" width="9.28515625" style="248" customWidth="1"/>
    <col min="13582" max="13582" width="9.5703125" style="248" bestFit="1" customWidth="1"/>
    <col min="13583" max="13824" width="9.140625" style="248"/>
    <col min="13825" max="13825" width="42.85546875" style="248" customWidth="1"/>
    <col min="13826" max="13826" width="11.140625" style="248" customWidth="1"/>
    <col min="13827" max="13827" width="13.42578125" style="248" customWidth="1"/>
    <col min="13828" max="13828" width="12.42578125" style="248" customWidth="1"/>
    <col min="13829" max="13829" width="12" style="248" customWidth="1"/>
    <col min="13830" max="13830" width="13.28515625" style="248" customWidth="1"/>
    <col min="13831" max="13831" width="9.140625" style="248"/>
    <col min="13832" max="13832" width="10.7109375" style="248" customWidth="1"/>
    <col min="13833" max="13834" width="9.140625" style="248"/>
    <col min="13835" max="13835" width="9.7109375" style="248" customWidth="1"/>
    <col min="13836" max="13836" width="9.140625" style="248"/>
    <col min="13837" max="13837" width="9.28515625" style="248" customWidth="1"/>
    <col min="13838" max="13838" width="9.5703125" style="248" bestFit="1" customWidth="1"/>
    <col min="13839" max="14080" width="9.140625" style="248"/>
    <col min="14081" max="14081" width="42.85546875" style="248" customWidth="1"/>
    <col min="14082" max="14082" width="11.140625" style="248" customWidth="1"/>
    <col min="14083" max="14083" width="13.42578125" style="248" customWidth="1"/>
    <col min="14084" max="14084" width="12.42578125" style="248" customWidth="1"/>
    <col min="14085" max="14085" width="12" style="248" customWidth="1"/>
    <col min="14086" max="14086" width="13.28515625" style="248" customWidth="1"/>
    <col min="14087" max="14087" width="9.140625" style="248"/>
    <col min="14088" max="14088" width="10.7109375" style="248" customWidth="1"/>
    <col min="14089" max="14090" width="9.140625" style="248"/>
    <col min="14091" max="14091" width="9.7109375" style="248" customWidth="1"/>
    <col min="14092" max="14092" width="9.140625" style="248"/>
    <col min="14093" max="14093" width="9.28515625" style="248" customWidth="1"/>
    <col min="14094" max="14094" width="9.5703125" style="248" bestFit="1" customWidth="1"/>
    <col min="14095" max="14336" width="9.140625" style="248"/>
    <col min="14337" max="14337" width="42.85546875" style="248" customWidth="1"/>
    <col min="14338" max="14338" width="11.140625" style="248" customWidth="1"/>
    <col min="14339" max="14339" width="13.42578125" style="248" customWidth="1"/>
    <col min="14340" max="14340" width="12.42578125" style="248" customWidth="1"/>
    <col min="14341" max="14341" width="12" style="248" customWidth="1"/>
    <col min="14342" max="14342" width="13.28515625" style="248" customWidth="1"/>
    <col min="14343" max="14343" width="9.140625" style="248"/>
    <col min="14344" max="14344" width="10.7109375" style="248" customWidth="1"/>
    <col min="14345" max="14346" width="9.140625" style="248"/>
    <col min="14347" max="14347" width="9.7109375" style="248" customWidth="1"/>
    <col min="14348" max="14348" width="9.140625" style="248"/>
    <col min="14349" max="14349" width="9.28515625" style="248" customWidth="1"/>
    <col min="14350" max="14350" width="9.5703125" style="248" bestFit="1" customWidth="1"/>
    <col min="14351" max="14592" width="9.140625" style="248"/>
    <col min="14593" max="14593" width="42.85546875" style="248" customWidth="1"/>
    <col min="14594" max="14594" width="11.140625" style="248" customWidth="1"/>
    <col min="14595" max="14595" width="13.42578125" style="248" customWidth="1"/>
    <col min="14596" max="14596" width="12.42578125" style="248" customWidth="1"/>
    <col min="14597" max="14597" width="12" style="248" customWidth="1"/>
    <col min="14598" max="14598" width="13.28515625" style="248" customWidth="1"/>
    <col min="14599" max="14599" width="9.140625" style="248"/>
    <col min="14600" max="14600" width="10.7109375" style="248" customWidth="1"/>
    <col min="14601" max="14602" width="9.140625" style="248"/>
    <col min="14603" max="14603" width="9.7109375" style="248" customWidth="1"/>
    <col min="14604" max="14604" width="9.140625" style="248"/>
    <col min="14605" max="14605" width="9.28515625" style="248" customWidth="1"/>
    <col min="14606" max="14606" width="9.5703125" style="248" bestFit="1" customWidth="1"/>
    <col min="14607" max="14848" width="9.140625" style="248"/>
    <col min="14849" max="14849" width="42.85546875" style="248" customWidth="1"/>
    <col min="14850" max="14850" width="11.140625" style="248" customWidth="1"/>
    <col min="14851" max="14851" width="13.42578125" style="248" customWidth="1"/>
    <col min="14852" max="14852" width="12.42578125" style="248" customWidth="1"/>
    <col min="14853" max="14853" width="12" style="248" customWidth="1"/>
    <col min="14854" max="14854" width="13.28515625" style="248" customWidth="1"/>
    <col min="14855" max="14855" width="9.140625" style="248"/>
    <col min="14856" max="14856" width="10.7109375" style="248" customWidth="1"/>
    <col min="14857" max="14858" width="9.140625" style="248"/>
    <col min="14859" max="14859" width="9.7109375" style="248" customWidth="1"/>
    <col min="14860" max="14860" width="9.140625" style="248"/>
    <col min="14861" max="14861" width="9.28515625" style="248" customWidth="1"/>
    <col min="14862" max="14862" width="9.5703125" style="248" bestFit="1" customWidth="1"/>
    <col min="14863" max="15104" width="9.140625" style="248"/>
    <col min="15105" max="15105" width="42.85546875" style="248" customWidth="1"/>
    <col min="15106" max="15106" width="11.140625" style="248" customWidth="1"/>
    <col min="15107" max="15107" width="13.42578125" style="248" customWidth="1"/>
    <col min="15108" max="15108" width="12.42578125" style="248" customWidth="1"/>
    <col min="15109" max="15109" width="12" style="248" customWidth="1"/>
    <col min="15110" max="15110" width="13.28515625" style="248" customWidth="1"/>
    <col min="15111" max="15111" width="9.140625" style="248"/>
    <col min="15112" max="15112" width="10.7109375" style="248" customWidth="1"/>
    <col min="15113" max="15114" width="9.140625" style="248"/>
    <col min="15115" max="15115" width="9.7109375" style="248" customWidth="1"/>
    <col min="15116" max="15116" width="9.140625" style="248"/>
    <col min="15117" max="15117" width="9.28515625" style="248" customWidth="1"/>
    <col min="15118" max="15118" width="9.5703125" style="248" bestFit="1" customWidth="1"/>
    <col min="15119" max="15360" width="9.140625" style="248"/>
    <col min="15361" max="15361" width="42.85546875" style="248" customWidth="1"/>
    <col min="15362" max="15362" width="11.140625" style="248" customWidth="1"/>
    <col min="15363" max="15363" width="13.42578125" style="248" customWidth="1"/>
    <col min="15364" max="15364" width="12.42578125" style="248" customWidth="1"/>
    <col min="15365" max="15365" width="12" style="248" customWidth="1"/>
    <col min="15366" max="15366" width="13.28515625" style="248" customWidth="1"/>
    <col min="15367" max="15367" width="9.140625" style="248"/>
    <col min="15368" max="15368" width="10.7109375" style="248" customWidth="1"/>
    <col min="15369" max="15370" width="9.140625" style="248"/>
    <col min="15371" max="15371" width="9.7109375" style="248" customWidth="1"/>
    <col min="15372" max="15372" width="9.140625" style="248"/>
    <col min="15373" max="15373" width="9.28515625" style="248" customWidth="1"/>
    <col min="15374" max="15374" width="9.5703125" style="248" bestFit="1" customWidth="1"/>
    <col min="15375" max="15616" width="9.140625" style="248"/>
    <col min="15617" max="15617" width="42.85546875" style="248" customWidth="1"/>
    <col min="15618" max="15618" width="11.140625" style="248" customWidth="1"/>
    <col min="15619" max="15619" width="13.42578125" style="248" customWidth="1"/>
    <col min="15620" max="15620" width="12.42578125" style="248" customWidth="1"/>
    <col min="15621" max="15621" width="12" style="248" customWidth="1"/>
    <col min="15622" max="15622" width="13.28515625" style="248" customWidth="1"/>
    <col min="15623" max="15623" width="9.140625" style="248"/>
    <col min="15624" max="15624" width="10.7109375" style="248" customWidth="1"/>
    <col min="15625" max="15626" width="9.140625" style="248"/>
    <col min="15627" max="15627" width="9.7109375" style="248" customWidth="1"/>
    <col min="15628" max="15628" width="9.140625" style="248"/>
    <col min="15629" max="15629" width="9.28515625" style="248" customWidth="1"/>
    <col min="15630" max="15630" width="9.5703125" style="248" bestFit="1" customWidth="1"/>
    <col min="15631" max="15872" width="9.140625" style="248"/>
    <col min="15873" max="15873" width="42.85546875" style="248" customWidth="1"/>
    <col min="15874" max="15874" width="11.140625" style="248" customWidth="1"/>
    <col min="15875" max="15875" width="13.42578125" style="248" customWidth="1"/>
    <col min="15876" max="15876" width="12.42578125" style="248" customWidth="1"/>
    <col min="15877" max="15877" width="12" style="248" customWidth="1"/>
    <col min="15878" max="15878" width="13.28515625" style="248" customWidth="1"/>
    <col min="15879" max="15879" width="9.140625" style="248"/>
    <col min="15880" max="15880" width="10.7109375" style="248" customWidth="1"/>
    <col min="15881" max="15882" width="9.140625" style="248"/>
    <col min="15883" max="15883" width="9.7109375" style="248" customWidth="1"/>
    <col min="15884" max="15884" width="9.140625" style="248"/>
    <col min="15885" max="15885" width="9.28515625" style="248" customWidth="1"/>
    <col min="15886" max="15886" width="9.5703125" style="248" bestFit="1" customWidth="1"/>
    <col min="15887" max="16128" width="9.140625" style="248"/>
    <col min="16129" max="16129" width="42.85546875" style="248" customWidth="1"/>
    <col min="16130" max="16130" width="11.140625" style="248" customWidth="1"/>
    <col min="16131" max="16131" width="13.42578125" style="248" customWidth="1"/>
    <col min="16132" max="16132" width="12.42578125" style="248" customWidth="1"/>
    <col min="16133" max="16133" width="12" style="248" customWidth="1"/>
    <col min="16134" max="16134" width="13.28515625" style="248" customWidth="1"/>
    <col min="16135" max="16135" width="9.140625" style="248"/>
    <col min="16136" max="16136" width="10.7109375" style="248" customWidth="1"/>
    <col min="16137" max="16138" width="9.140625" style="248"/>
    <col min="16139" max="16139" width="9.7109375" style="248" customWidth="1"/>
    <col min="16140" max="16140" width="9.140625" style="248"/>
    <col min="16141" max="16141" width="9.28515625" style="248" customWidth="1"/>
    <col min="16142" max="16142" width="9.5703125" style="248" bestFit="1" customWidth="1"/>
    <col min="16143" max="16384" width="9.140625" style="248"/>
  </cols>
  <sheetData>
    <row r="1" spans="1:14">
      <c r="A1" s="658" t="s">
        <v>417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60"/>
    </row>
    <row r="2" spans="1:14">
      <c r="A2" s="852" t="s">
        <v>418</v>
      </c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4"/>
    </row>
    <row r="3" spans="1:14" s="258" customFormat="1">
      <c r="A3" s="855" t="s">
        <v>585</v>
      </c>
      <c r="B3" s="855"/>
      <c r="C3" s="855"/>
    </row>
    <row r="4" spans="1:14" ht="26.25" customHeight="1">
      <c r="A4" s="445" t="s">
        <v>419</v>
      </c>
      <c r="B4" s="663" t="s">
        <v>420</v>
      </c>
      <c r="C4" s="663"/>
      <c r="D4" s="845" t="s">
        <v>421</v>
      </c>
      <c r="E4" s="845"/>
      <c r="F4" s="253">
        <v>10</v>
      </c>
      <c r="G4" s="845" t="s">
        <v>4</v>
      </c>
      <c r="H4" s="845"/>
      <c r="I4" s="253">
        <v>5350</v>
      </c>
      <c r="J4" s="845" t="s">
        <v>86</v>
      </c>
      <c r="K4" s="845"/>
      <c r="L4" s="253">
        <v>0</v>
      </c>
      <c r="M4" s="258"/>
      <c r="N4" s="258"/>
    </row>
    <row r="5" spans="1:14" s="258" customFormat="1"/>
    <row r="6" spans="1:14" ht="26.25" customHeight="1">
      <c r="A6" s="446" t="s">
        <v>422</v>
      </c>
      <c r="B6" s="587" t="s">
        <v>423</v>
      </c>
      <c r="C6" s="588"/>
      <c r="D6" s="845" t="s">
        <v>313</v>
      </c>
      <c r="E6" s="845"/>
      <c r="F6" s="845"/>
      <c r="G6" s="587" t="s">
        <v>423</v>
      </c>
      <c r="H6" s="588"/>
      <c r="I6" s="258"/>
      <c r="J6" s="258"/>
      <c r="K6" s="258"/>
      <c r="L6" s="258"/>
      <c r="M6" s="258"/>
      <c r="N6" s="258"/>
    </row>
    <row r="7" spans="1:14" s="258" customFormat="1"/>
    <row r="8" spans="1:14" ht="29.25" customHeight="1">
      <c r="A8" s="447" t="s">
        <v>424</v>
      </c>
      <c r="B8" s="856" t="s">
        <v>679</v>
      </c>
      <c r="C8" s="856"/>
      <c r="D8" s="856"/>
      <c r="E8" s="447" t="s">
        <v>680</v>
      </c>
      <c r="F8" s="857" t="s">
        <v>681</v>
      </c>
      <c r="G8" s="857"/>
      <c r="H8" s="857"/>
      <c r="I8" s="258"/>
      <c r="J8" s="258"/>
      <c r="K8" s="258"/>
      <c r="L8" s="258"/>
      <c r="M8" s="258"/>
      <c r="N8" s="258"/>
    </row>
    <row r="9" spans="1:14" s="258" customFormat="1"/>
    <row r="10" spans="1:14" ht="26.25" customHeight="1">
      <c r="A10" s="446" t="s">
        <v>159</v>
      </c>
      <c r="B10" s="253">
        <v>21</v>
      </c>
      <c r="C10" s="845" t="s">
        <v>211</v>
      </c>
      <c r="D10" s="845"/>
      <c r="E10" s="253">
        <v>14</v>
      </c>
      <c r="F10" s="446" t="s">
        <v>171</v>
      </c>
      <c r="G10" s="253">
        <v>76</v>
      </c>
      <c r="H10" s="446" t="s">
        <v>160</v>
      </c>
      <c r="I10" s="253">
        <v>9</v>
      </c>
      <c r="J10" s="446" t="s">
        <v>161</v>
      </c>
      <c r="K10" s="253">
        <v>35</v>
      </c>
      <c r="L10" s="258"/>
      <c r="M10" s="258"/>
      <c r="N10" s="258"/>
    </row>
    <row r="11" spans="1:14" s="258" customFormat="1"/>
    <row r="12" spans="1:14" ht="26.25" customHeight="1">
      <c r="A12" s="446" t="s">
        <v>425</v>
      </c>
      <c r="B12" s="446" t="s">
        <v>40</v>
      </c>
      <c r="C12" s="253">
        <v>914</v>
      </c>
      <c r="D12" s="446" t="s">
        <v>41</v>
      </c>
      <c r="E12" s="253">
        <v>25</v>
      </c>
      <c r="F12" s="446" t="s">
        <v>426</v>
      </c>
      <c r="G12" s="253">
        <v>55</v>
      </c>
      <c r="H12" s="446" t="s">
        <v>69</v>
      </c>
      <c r="I12" s="253">
        <v>994</v>
      </c>
      <c r="J12" s="446" t="s">
        <v>43</v>
      </c>
      <c r="K12" s="253">
        <v>474</v>
      </c>
      <c r="L12" s="845" t="s">
        <v>119</v>
      </c>
      <c r="M12" s="845"/>
      <c r="N12" s="253">
        <v>49</v>
      </c>
    </row>
    <row r="13" spans="1:14" ht="26.25" customHeight="1">
      <c r="A13" s="446" t="s">
        <v>427</v>
      </c>
      <c r="B13" s="446" t="s">
        <v>46</v>
      </c>
      <c r="C13" s="253">
        <v>1981</v>
      </c>
      <c r="D13" s="446" t="s">
        <v>47</v>
      </c>
      <c r="E13" s="253">
        <v>53</v>
      </c>
      <c r="F13" s="446" t="s">
        <v>48</v>
      </c>
      <c r="G13" s="253">
        <v>150</v>
      </c>
      <c r="H13" s="446" t="s">
        <v>77</v>
      </c>
      <c r="I13" s="253">
        <f>C13+E13+G13</f>
        <v>2184</v>
      </c>
      <c r="J13" s="258"/>
      <c r="K13" s="258"/>
      <c r="L13" s="258"/>
      <c r="M13" s="258"/>
      <c r="N13" s="258"/>
    </row>
    <row r="14" spans="1:14" ht="26.25" customHeight="1">
      <c r="A14" s="448"/>
      <c r="B14" s="446" t="s">
        <v>212</v>
      </c>
      <c r="C14" s="253">
        <v>2026</v>
      </c>
      <c r="D14" s="446" t="s">
        <v>213</v>
      </c>
      <c r="E14" s="253">
        <v>45</v>
      </c>
      <c r="F14" s="446" t="s">
        <v>214</v>
      </c>
      <c r="G14" s="253">
        <v>142</v>
      </c>
      <c r="H14" s="446" t="s">
        <v>215</v>
      </c>
      <c r="I14" s="253">
        <f>C14+E14+G14</f>
        <v>2213</v>
      </c>
      <c r="J14" s="258"/>
      <c r="K14" s="258"/>
      <c r="L14" s="258"/>
      <c r="M14" s="258"/>
      <c r="N14" s="258"/>
    </row>
    <row r="15" spans="1:14" s="258" customFormat="1" ht="26.25" customHeight="1">
      <c r="A15" s="449" t="s">
        <v>52</v>
      </c>
    </row>
    <row r="16" spans="1:14" ht="26.25" customHeight="1">
      <c r="A16" s="846" t="s">
        <v>53</v>
      </c>
      <c r="B16" s="848" t="s">
        <v>428</v>
      </c>
      <c r="C16" s="850" t="s">
        <v>55</v>
      </c>
      <c r="D16" s="848" t="s">
        <v>157</v>
      </c>
      <c r="E16" s="848" t="s">
        <v>164</v>
      </c>
      <c r="F16" s="849" t="s">
        <v>216</v>
      </c>
      <c r="G16" s="849"/>
      <c r="H16" s="849"/>
      <c r="I16" s="849"/>
      <c r="J16" s="849"/>
      <c r="K16" s="849"/>
      <c r="L16" s="849"/>
      <c r="M16" s="849"/>
      <c r="N16" s="849"/>
    </row>
    <row r="17" spans="1:14" ht="26.25" customHeight="1">
      <c r="A17" s="847"/>
      <c r="B17" s="849"/>
      <c r="C17" s="851"/>
      <c r="D17" s="849"/>
      <c r="E17" s="849"/>
      <c r="F17" s="439" t="s">
        <v>395</v>
      </c>
      <c r="G17" s="439" t="s">
        <v>394</v>
      </c>
      <c r="H17" s="439" t="s">
        <v>393</v>
      </c>
      <c r="I17" s="439" t="s">
        <v>392</v>
      </c>
      <c r="J17" s="439" t="s">
        <v>391</v>
      </c>
      <c r="K17" s="439" t="s">
        <v>390</v>
      </c>
      <c r="L17" s="439" t="s">
        <v>389</v>
      </c>
      <c r="M17" s="440" t="s">
        <v>64</v>
      </c>
      <c r="N17" s="440" t="s">
        <v>388</v>
      </c>
    </row>
    <row r="18" spans="1:14" ht="26.25" customHeight="1">
      <c r="A18" s="446" t="s">
        <v>370</v>
      </c>
      <c r="B18" s="253">
        <v>500</v>
      </c>
      <c r="C18" s="253" t="s">
        <v>248</v>
      </c>
      <c r="D18" s="53">
        <v>25</v>
      </c>
      <c r="E18" s="53">
        <v>10.294</v>
      </c>
      <c r="F18" s="53">
        <v>0</v>
      </c>
      <c r="G18" s="53">
        <v>4.2267999999999999</v>
      </c>
      <c r="H18" s="53">
        <v>2.57979</v>
      </c>
      <c r="I18" s="253"/>
      <c r="J18" s="253"/>
      <c r="K18" s="253"/>
      <c r="L18" s="253"/>
      <c r="M18" s="53">
        <f>F18+G18+H18</f>
        <v>6.8065899999999999</v>
      </c>
      <c r="N18" s="53">
        <f>M18/E18*100</f>
        <v>66.12191567903632</v>
      </c>
    </row>
    <row r="19" spans="1:14" ht="26.25" customHeight="1">
      <c r="A19" s="446" t="s">
        <v>338</v>
      </c>
      <c r="B19" s="253">
        <v>360</v>
      </c>
      <c r="C19" s="253" t="s">
        <v>248</v>
      </c>
      <c r="D19" s="53">
        <v>18</v>
      </c>
      <c r="E19" s="53">
        <v>2.68</v>
      </c>
      <c r="F19" s="53">
        <v>0</v>
      </c>
      <c r="G19" s="53">
        <v>0</v>
      </c>
      <c r="H19" s="53">
        <v>1.39168</v>
      </c>
      <c r="I19" s="253"/>
      <c r="J19" s="253"/>
      <c r="K19" s="253"/>
      <c r="L19" s="253"/>
      <c r="M19" s="53">
        <f t="shared" ref="M19:M25" si="0">F19+G19+H19</f>
        <v>1.39168</v>
      </c>
      <c r="N19" s="53">
        <f t="shared" ref="N19:N26" si="1">M19/E19*100</f>
        <v>51.928358208955217</v>
      </c>
    </row>
    <row r="20" spans="1:14" ht="26.25" customHeight="1">
      <c r="A20" s="446" t="s">
        <v>429</v>
      </c>
      <c r="B20" s="253">
        <v>8.4</v>
      </c>
      <c r="C20" s="253" t="s">
        <v>430</v>
      </c>
      <c r="D20" s="53">
        <v>58.8</v>
      </c>
      <c r="E20" s="53">
        <v>7.47</v>
      </c>
      <c r="F20" s="53">
        <v>0.3</v>
      </c>
      <c r="G20" s="53">
        <v>3.6</v>
      </c>
      <c r="H20" s="53">
        <v>2.3429799999999998</v>
      </c>
      <c r="I20" s="253"/>
      <c r="J20" s="253"/>
      <c r="K20" s="253"/>
      <c r="L20" s="253"/>
      <c r="M20" s="53">
        <f t="shared" si="0"/>
        <v>6.2429799999999993</v>
      </c>
      <c r="N20" s="53">
        <f t="shared" si="1"/>
        <v>83.574029451137875</v>
      </c>
    </row>
    <row r="21" spans="1:14" ht="26.25" customHeight="1">
      <c r="A21" s="446" t="s">
        <v>431</v>
      </c>
      <c r="B21" s="253">
        <v>0.84</v>
      </c>
      <c r="C21" s="253" t="s">
        <v>430</v>
      </c>
      <c r="D21" s="53">
        <v>5.88</v>
      </c>
      <c r="E21" s="53">
        <v>1.86</v>
      </c>
      <c r="F21" s="53">
        <v>7.4999999999999997E-2</v>
      </c>
      <c r="G21" s="53">
        <v>0.9</v>
      </c>
      <c r="H21" s="53">
        <v>0.79729000000000005</v>
      </c>
      <c r="I21" s="253"/>
      <c r="J21" s="253"/>
      <c r="K21" s="253"/>
      <c r="L21" s="253"/>
      <c r="M21" s="53">
        <f t="shared" si="0"/>
        <v>1.7722899999999999</v>
      </c>
      <c r="N21" s="53">
        <f t="shared" si="1"/>
        <v>95.284408602150535</v>
      </c>
    </row>
    <row r="22" spans="1:14" ht="26.25" customHeight="1">
      <c r="A22" s="446" t="s">
        <v>432</v>
      </c>
      <c r="B22" s="253">
        <v>3.6</v>
      </c>
      <c r="C22" s="253" t="s">
        <v>430</v>
      </c>
      <c r="D22" s="53">
        <v>25.2</v>
      </c>
      <c r="E22" s="53">
        <v>5</v>
      </c>
      <c r="F22" s="53">
        <v>0.2</v>
      </c>
      <c r="G22" s="53">
        <v>2.4</v>
      </c>
      <c r="H22" s="53">
        <v>1.96</v>
      </c>
      <c r="I22" s="253"/>
      <c r="J22" s="253"/>
      <c r="K22" s="253"/>
      <c r="L22" s="253"/>
      <c r="M22" s="53">
        <f t="shared" si="0"/>
        <v>4.5600000000000005</v>
      </c>
      <c r="N22" s="53">
        <f t="shared" si="1"/>
        <v>91.200000000000017</v>
      </c>
    </row>
    <row r="23" spans="1:14" ht="26.25" customHeight="1">
      <c r="A23" s="446" t="s">
        <v>433</v>
      </c>
      <c r="B23" s="253">
        <v>0.24</v>
      </c>
      <c r="C23" s="253" t="s">
        <v>430</v>
      </c>
      <c r="D23" s="53">
        <v>1.68</v>
      </c>
      <c r="E23" s="53">
        <v>0.5</v>
      </c>
      <c r="F23" s="53">
        <v>0.04</v>
      </c>
      <c r="G23" s="53">
        <v>0.24</v>
      </c>
      <c r="H23" s="53">
        <v>0.2</v>
      </c>
      <c r="I23" s="253"/>
      <c r="J23" s="253"/>
      <c r="K23" s="253"/>
      <c r="L23" s="253"/>
      <c r="M23" s="53">
        <f t="shared" si="0"/>
        <v>0.48</v>
      </c>
      <c r="N23" s="53">
        <f t="shared" si="1"/>
        <v>96</v>
      </c>
    </row>
    <row r="24" spans="1:14" ht="26.25" customHeight="1">
      <c r="A24" s="446" t="s">
        <v>434</v>
      </c>
      <c r="B24" s="253">
        <v>0.24</v>
      </c>
      <c r="C24" s="253" t="s">
        <v>430</v>
      </c>
      <c r="D24" s="53">
        <v>1.68</v>
      </c>
      <c r="E24" s="53">
        <v>0.75</v>
      </c>
      <c r="F24" s="53">
        <v>5.1069999999999997E-2</v>
      </c>
      <c r="G24" s="53">
        <v>0.36</v>
      </c>
      <c r="H24" s="53">
        <v>0.33</v>
      </c>
      <c r="I24" s="253"/>
      <c r="J24" s="253"/>
      <c r="K24" s="253"/>
      <c r="L24" s="253"/>
      <c r="M24" s="53">
        <f t="shared" si="0"/>
        <v>0.74107000000000001</v>
      </c>
      <c r="N24" s="53">
        <f t="shared" si="1"/>
        <v>98.809333333333342</v>
      </c>
    </row>
    <row r="25" spans="1:14" ht="26.25" customHeight="1">
      <c r="A25" s="446" t="s">
        <v>435</v>
      </c>
      <c r="B25" s="253">
        <v>0.2</v>
      </c>
      <c r="C25" s="253" t="s">
        <v>68</v>
      </c>
      <c r="D25" s="53">
        <v>0.2</v>
      </c>
      <c r="E25" s="53">
        <v>0.2</v>
      </c>
      <c r="F25" s="53">
        <v>0</v>
      </c>
      <c r="G25" s="53">
        <v>0.2</v>
      </c>
      <c r="H25" s="53">
        <v>0</v>
      </c>
      <c r="I25" s="253"/>
      <c r="J25" s="253"/>
      <c r="K25" s="253"/>
      <c r="L25" s="253"/>
      <c r="M25" s="53">
        <f t="shared" si="0"/>
        <v>0.2</v>
      </c>
      <c r="N25" s="450">
        <f t="shared" si="1"/>
        <v>100</v>
      </c>
    </row>
    <row r="26" spans="1:14" ht="26.25" customHeight="1">
      <c r="A26" s="446" t="s">
        <v>64</v>
      </c>
      <c r="B26" s="253">
        <f>SUM(B18:B25)</f>
        <v>873.5200000000001</v>
      </c>
      <c r="C26" s="253"/>
      <c r="D26" s="53">
        <f>SUM(D18:D25)</f>
        <v>136.44</v>
      </c>
      <c r="E26" s="53">
        <f t="shared" ref="E26:M26" si="2">SUM(E18:E25)</f>
        <v>28.753999999999998</v>
      </c>
      <c r="F26" s="53">
        <f t="shared" si="2"/>
        <v>0.66606999999999994</v>
      </c>
      <c r="G26" s="53">
        <f t="shared" si="2"/>
        <v>11.9268</v>
      </c>
      <c r="H26" s="53">
        <f t="shared" si="2"/>
        <v>9.6017399999999995</v>
      </c>
      <c r="I26" s="53">
        <f t="shared" si="2"/>
        <v>0</v>
      </c>
      <c r="J26" s="53">
        <f t="shared" si="2"/>
        <v>0</v>
      </c>
      <c r="K26" s="53">
        <f t="shared" si="2"/>
        <v>0</v>
      </c>
      <c r="L26" s="53">
        <f t="shared" si="2"/>
        <v>0</v>
      </c>
      <c r="M26" s="53">
        <f t="shared" si="2"/>
        <v>22.194610000000004</v>
      </c>
      <c r="N26" s="53">
        <f t="shared" si="1"/>
        <v>77.187904291576842</v>
      </c>
    </row>
  </sheetData>
  <mergeCells count="20">
    <mergeCell ref="C10:D10"/>
    <mergeCell ref="A1:N1"/>
    <mergeCell ref="A2:N2"/>
    <mergeCell ref="A3:C3"/>
    <mergeCell ref="B4:C4"/>
    <mergeCell ref="D4:E4"/>
    <mergeCell ref="G4:H4"/>
    <mergeCell ref="J4:K4"/>
    <mergeCell ref="B6:C6"/>
    <mergeCell ref="D6:F6"/>
    <mergeCell ref="G6:H6"/>
    <mergeCell ref="B8:D8"/>
    <mergeCell ref="F8:H8"/>
    <mergeCell ref="L12:M12"/>
    <mergeCell ref="A16:A17"/>
    <mergeCell ref="B16:B17"/>
    <mergeCell ref="C16:C17"/>
    <mergeCell ref="D16:D17"/>
    <mergeCell ref="E16:E17"/>
    <mergeCell ref="F16:N16"/>
  </mergeCells>
  <hyperlinks>
    <hyperlink ref="A3" location="'Fact Sheet of VDC'!A1" display="&lt;&lt;Back"/>
  </hyperlinks>
  <printOptions horizontalCentered="1" verticalCentered="1"/>
  <pageMargins left="7.874015748031496E-2" right="0.11811023622047245" top="0.98425196850393704" bottom="0.98425196850393704" header="0.51181102362204722" footer="0.51181102362204722"/>
  <pageSetup scale="74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workbookViewId="0">
      <selection activeCell="A3" sqref="A3:C3"/>
    </sheetView>
  </sheetViews>
  <sheetFormatPr defaultRowHeight="15"/>
  <cols>
    <col min="1" max="1" width="27.7109375" style="248" customWidth="1"/>
    <col min="2" max="2" width="9.140625" style="248"/>
    <col min="3" max="3" width="8.28515625" style="248" customWidth="1"/>
    <col min="4" max="4" width="8.7109375" style="248" customWidth="1"/>
    <col min="5" max="5" width="9.140625" style="248" customWidth="1"/>
    <col min="6" max="6" width="9.42578125" style="248" customWidth="1"/>
    <col min="7" max="7" width="9.140625" style="248"/>
    <col min="8" max="8" width="12" style="248" customWidth="1"/>
    <col min="9" max="9" width="9.140625" style="248"/>
    <col min="10" max="10" width="8.42578125" style="248" customWidth="1"/>
    <col min="11" max="11" width="6.7109375" style="248" customWidth="1"/>
    <col min="12" max="12" width="7.5703125" style="248" customWidth="1"/>
    <col min="13" max="13" width="10.140625" style="248" customWidth="1"/>
    <col min="14" max="14" width="8" style="248" customWidth="1"/>
    <col min="15" max="256" width="9.140625" style="248"/>
    <col min="257" max="257" width="27.7109375" style="248" customWidth="1"/>
    <col min="258" max="258" width="9.140625" style="248"/>
    <col min="259" max="259" width="8.28515625" style="248" customWidth="1"/>
    <col min="260" max="260" width="8.7109375" style="248" customWidth="1"/>
    <col min="261" max="261" width="9.140625" style="248" customWidth="1"/>
    <col min="262" max="262" width="9.42578125" style="248" customWidth="1"/>
    <col min="263" max="263" width="9.140625" style="248"/>
    <col min="264" max="264" width="12" style="248" customWidth="1"/>
    <col min="265" max="265" width="9.140625" style="248"/>
    <col min="266" max="266" width="8.42578125" style="248" customWidth="1"/>
    <col min="267" max="267" width="6.7109375" style="248" customWidth="1"/>
    <col min="268" max="268" width="7.5703125" style="248" customWidth="1"/>
    <col min="269" max="269" width="10.140625" style="248" customWidth="1"/>
    <col min="270" max="270" width="8" style="248" customWidth="1"/>
    <col min="271" max="512" width="9.140625" style="248"/>
    <col min="513" max="513" width="27.7109375" style="248" customWidth="1"/>
    <col min="514" max="514" width="9.140625" style="248"/>
    <col min="515" max="515" width="8.28515625" style="248" customWidth="1"/>
    <col min="516" max="516" width="8.7109375" style="248" customWidth="1"/>
    <col min="517" max="517" width="9.140625" style="248" customWidth="1"/>
    <col min="518" max="518" width="9.42578125" style="248" customWidth="1"/>
    <col min="519" max="519" width="9.140625" style="248"/>
    <col min="520" max="520" width="12" style="248" customWidth="1"/>
    <col min="521" max="521" width="9.140625" style="248"/>
    <col min="522" max="522" width="8.42578125" style="248" customWidth="1"/>
    <col min="523" max="523" width="6.7109375" style="248" customWidth="1"/>
    <col min="524" max="524" width="7.5703125" style="248" customWidth="1"/>
    <col min="525" max="525" width="10.140625" style="248" customWidth="1"/>
    <col min="526" max="526" width="8" style="248" customWidth="1"/>
    <col min="527" max="768" width="9.140625" style="248"/>
    <col min="769" max="769" width="27.7109375" style="248" customWidth="1"/>
    <col min="770" max="770" width="9.140625" style="248"/>
    <col min="771" max="771" width="8.28515625" style="248" customWidth="1"/>
    <col min="772" max="772" width="8.7109375" style="248" customWidth="1"/>
    <col min="773" max="773" width="9.140625" style="248" customWidth="1"/>
    <col min="774" max="774" width="9.42578125" style="248" customWidth="1"/>
    <col min="775" max="775" width="9.140625" style="248"/>
    <col min="776" max="776" width="12" style="248" customWidth="1"/>
    <col min="777" max="777" width="9.140625" style="248"/>
    <col min="778" max="778" width="8.42578125" style="248" customWidth="1"/>
    <col min="779" max="779" width="6.7109375" style="248" customWidth="1"/>
    <col min="780" max="780" width="7.5703125" style="248" customWidth="1"/>
    <col min="781" max="781" width="10.140625" style="248" customWidth="1"/>
    <col min="782" max="782" width="8" style="248" customWidth="1"/>
    <col min="783" max="1024" width="9.140625" style="248"/>
    <col min="1025" max="1025" width="27.7109375" style="248" customWidth="1"/>
    <col min="1026" max="1026" width="9.140625" style="248"/>
    <col min="1027" max="1027" width="8.28515625" style="248" customWidth="1"/>
    <col min="1028" max="1028" width="8.7109375" style="248" customWidth="1"/>
    <col min="1029" max="1029" width="9.140625" style="248" customWidth="1"/>
    <col min="1030" max="1030" width="9.42578125" style="248" customWidth="1"/>
    <col min="1031" max="1031" width="9.140625" style="248"/>
    <col min="1032" max="1032" width="12" style="248" customWidth="1"/>
    <col min="1033" max="1033" width="9.140625" style="248"/>
    <col min="1034" max="1034" width="8.42578125" style="248" customWidth="1"/>
    <col min="1035" max="1035" width="6.7109375" style="248" customWidth="1"/>
    <col min="1036" max="1036" width="7.5703125" style="248" customWidth="1"/>
    <col min="1037" max="1037" width="10.140625" style="248" customWidth="1"/>
    <col min="1038" max="1038" width="8" style="248" customWidth="1"/>
    <col min="1039" max="1280" width="9.140625" style="248"/>
    <col min="1281" max="1281" width="27.7109375" style="248" customWidth="1"/>
    <col min="1282" max="1282" width="9.140625" style="248"/>
    <col min="1283" max="1283" width="8.28515625" style="248" customWidth="1"/>
    <col min="1284" max="1284" width="8.7109375" style="248" customWidth="1"/>
    <col min="1285" max="1285" width="9.140625" style="248" customWidth="1"/>
    <col min="1286" max="1286" width="9.42578125" style="248" customWidth="1"/>
    <col min="1287" max="1287" width="9.140625" style="248"/>
    <col min="1288" max="1288" width="12" style="248" customWidth="1"/>
    <col min="1289" max="1289" width="9.140625" style="248"/>
    <col min="1290" max="1290" width="8.42578125" style="248" customWidth="1"/>
    <col min="1291" max="1291" width="6.7109375" style="248" customWidth="1"/>
    <col min="1292" max="1292" width="7.5703125" style="248" customWidth="1"/>
    <col min="1293" max="1293" width="10.140625" style="248" customWidth="1"/>
    <col min="1294" max="1294" width="8" style="248" customWidth="1"/>
    <col min="1295" max="1536" width="9.140625" style="248"/>
    <col min="1537" max="1537" width="27.7109375" style="248" customWidth="1"/>
    <col min="1538" max="1538" width="9.140625" style="248"/>
    <col min="1539" max="1539" width="8.28515625" style="248" customWidth="1"/>
    <col min="1540" max="1540" width="8.7109375" style="248" customWidth="1"/>
    <col min="1541" max="1541" width="9.140625" style="248" customWidth="1"/>
    <col min="1542" max="1542" width="9.42578125" style="248" customWidth="1"/>
    <col min="1543" max="1543" width="9.140625" style="248"/>
    <col min="1544" max="1544" width="12" style="248" customWidth="1"/>
    <col min="1545" max="1545" width="9.140625" style="248"/>
    <col min="1546" max="1546" width="8.42578125" style="248" customWidth="1"/>
    <col min="1547" max="1547" width="6.7109375" style="248" customWidth="1"/>
    <col min="1548" max="1548" width="7.5703125" style="248" customWidth="1"/>
    <col min="1549" max="1549" width="10.140625" style="248" customWidth="1"/>
    <col min="1550" max="1550" width="8" style="248" customWidth="1"/>
    <col min="1551" max="1792" width="9.140625" style="248"/>
    <col min="1793" max="1793" width="27.7109375" style="248" customWidth="1"/>
    <col min="1794" max="1794" width="9.140625" style="248"/>
    <col min="1795" max="1795" width="8.28515625" style="248" customWidth="1"/>
    <col min="1796" max="1796" width="8.7109375" style="248" customWidth="1"/>
    <col min="1797" max="1797" width="9.140625" style="248" customWidth="1"/>
    <col min="1798" max="1798" width="9.42578125" style="248" customWidth="1"/>
    <col min="1799" max="1799" width="9.140625" style="248"/>
    <col min="1800" max="1800" width="12" style="248" customWidth="1"/>
    <col min="1801" max="1801" width="9.140625" style="248"/>
    <col min="1802" max="1802" width="8.42578125" style="248" customWidth="1"/>
    <col min="1803" max="1803" width="6.7109375" style="248" customWidth="1"/>
    <col min="1804" max="1804" width="7.5703125" style="248" customWidth="1"/>
    <col min="1805" max="1805" width="10.140625" style="248" customWidth="1"/>
    <col min="1806" max="1806" width="8" style="248" customWidth="1"/>
    <col min="1807" max="2048" width="9.140625" style="248"/>
    <col min="2049" max="2049" width="27.7109375" style="248" customWidth="1"/>
    <col min="2050" max="2050" width="9.140625" style="248"/>
    <col min="2051" max="2051" width="8.28515625" style="248" customWidth="1"/>
    <col min="2052" max="2052" width="8.7109375" style="248" customWidth="1"/>
    <col min="2053" max="2053" width="9.140625" style="248" customWidth="1"/>
    <col min="2054" max="2054" width="9.42578125" style="248" customWidth="1"/>
    <col min="2055" max="2055" width="9.140625" style="248"/>
    <col min="2056" max="2056" width="12" style="248" customWidth="1"/>
    <col min="2057" max="2057" width="9.140625" style="248"/>
    <col min="2058" max="2058" width="8.42578125" style="248" customWidth="1"/>
    <col min="2059" max="2059" width="6.7109375" style="248" customWidth="1"/>
    <col min="2060" max="2060" width="7.5703125" style="248" customWidth="1"/>
    <col min="2061" max="2061" width="10.140625" style="248" customWidth="1"/>
    <col min="2062" max="2062" width="8" style="248" customWidth="1"/>
    <col min="2063" max="2304" width="9.140625" style="248"/>
    <col min="2305" max="2305" width="27.7109375" style="248" customWidth="1"/>
    <col min="2306" max="2306" width="9.140625" style="248"/>
    <col min="2307" max="2307" width="8.28515625" style="248" customWidth="1"/>
    <col min="2308" max="2308" width="8.7109375" style="248" customWidth="1"/>
    <col min="2309" max="2309" width="9.140625" style="248" customWidth="1"/>
    <col min="2310" max="2310" width="9.42578125" style="248" customWidth="1"/>
    <col min="2311" max="2311" width="9.140625" style="248"/>
    <col min="2312" max="2312" width="12" style="248" customWidth="1"/>
    <col min="2313" max="2313" width="9.140625" style="248"/>
    <col min="2314" max="2314" width="8.42578125" style="248" customWidth="1"/>
    <col min="2315" max="2315" width="6.7109375" style="248" customWidth="1"/>
    <col min="2316" max="2316" width="7.5703125" style="248" customWidth="1"/>
    <col min="2317" max="2317" width="10.140625" style="248" customWidth="1"/>
    <col min="2318" max="2318" width="8" style="248" customWidth="1"/>
    <col min="2319" max="2560" width="9.140625" style="248"/>
    <col min="2561" max="2561" width="27.7109375" style="248" customWidth="1"/>
    <col min="2562" max="2562" width="9.140625" style="248"/>
    <col min="2563" max="2563" width="8.28515625" style="248" customWidth="1"/>
    <col min="2564" max="2564" width="8.7109375" style="248" customWidth="1"/>
    <col min="2565" max="2565" width="9.140625" style="248" customWidth="1"/>
    <col min="2566" max="2566" width="9.42578125" style="248" customWidth="1"/>
    <col min="2567" max="2567" width="9.140625" style="248"/>
    <col min="2568" max="2568" width="12" style="248" customWidth="1"/>
    <col min="2569" max="2569" width="9.140625" style="248"/>
    <col min="2570" max="2570" width="8.42578125" style="248" customWidth="1"/>
    <col min="2571" max="2571" width="6.7109375" style="248" customWidth="1"/>
    <col min="2572" max="2572" width="7.5703125" style="248" customWidth="1"/>
    <col min="2573" max="2573" width="10.140625" style="248" customWidth="1"/>
    <col min="2574" max="2574" width="8" style="248" customWidth="1"/>
    <col min="2575" max="2816" width="9.140625" style="248"/>
    <col min="2817" max="2817" width="27.7109375" style="248" customWidth="1"/>
    <col min="2818" max="2818" width="9.140625" style="248"/>
    <col min="2819" max="2819" width="8.28515625" style="248" customWidth="1"/>
    <col min="2820" max="2820" width="8.7109375" style="248" customWidth="1"/>
    <col min="2821" max="2821" width="9.140625" style="248" customWidth="1"/>
    <col min="2822" max="2822" width="9.42578125" style="248" customWidth="1"/>
    <col min="2823" max="2823" width="9.140625" style="248"/>
    <col min="2824" max="2824" width="12" style="248" customWidth="1"/>
    <col min="2825" max="2825" width="9.140625" style="248"/>
    <col min="2826" max="2826" width="8.42578125" style="248" customWidth="1"/>
    <col min="2827" max="2827" width="6.7109375" style="248" customWidth="1"/>
    <col min="2828" max="2828" width="7.5703125" style="248" customWidth="1"/>
    <col min="2829" max="2829" width="10.140625" style="248" customWidth="1"/>
    <col min="2830" max="2830" width="8" style="248" customWidth="1"/>
    <col min="2831" max="3072" width="9.140625" style="248"/>
    <col min="3073" max="3073" width="27.7109375" style="248" customWidth="1"/>
    <col min="3074" max="3074" width="9.140625" style="248"/>
    <col min="3075" max="3075" width="8.28515625" style="248" customWidth="1"/>
    <col min="3076" max="3076" width="8.7109375" style="248" customWidth="1"/>
    <col min="3077" max="3077" width="9.140625" style="248" customWidth="1"/>
    <col min="3078" max="3078" width="9.42578125" style="248" customWidth="1"/>
    <col min="3079" max="3079" width="9.140625" style="248"/>
    <col min="3080" max="3080" width="12" style="248" customWidth="1"/>
    <col min="3081" max="3081" width="9.140625" style="248"/>
    <col min="3082" max="3082" width="8.42578125" style="248" customWidth="1"/>
    <col min="3083" max="3083" width="6.7109375" style="248" customWidth="1"/>
    <col min="3084" max="3084" width="7.5703125" style="248" customWidth="1"/>
    <col min="3085" max="3085" width="10.140625" style="248" customWidth="1"/>
    <col min="3086" max="3086" width="8" style="248" customWidth="1"/>
    <col min="3087" max="3328" width="9.140625" style="248"/>
    <col min="3329" max="3329" width="27.7109375" style="248" customWidth="1"/>
    <col min="3330" max="3330" width="9.140625" style="248"/>
    <col min="3331" max="3331" width="8.28515625" style="248" customWidth="1"/>
    <col min="3332" max="3332" width="8.7109375" style="248" customWidth="1"/>
    <col min="3333" max="3333" width="9.140625" style="248" customWidth="1"/>
    <col min="3334" max="3334" width="9.42578125" style="248" customWidth="1"/>
    <col min="3335" max="3335" width="9.140625" style="248"/>
    <col min="3336" max="3336" width="12" style="248" customWidth="1"/>
    <col min="3337" max="3337" width="9.140625" style="248"/>
    <col min="3338" max="3338" width="8.42578125" style="248" customWidth="1"/>
    <col min="3339" max="3339" width="6.7109375" style="248" customWidth="1"/>
    <col min="3340" max="3340" width="7.5703125" style="248" customWidth="1"/>
    <col min="3341" max="3341" width="10.140625" style="248" customWidth="1"/>
    <col min="3342" max="3342" width="8" style="248" customWidth="1"/>
    <col min="3343" max="3584" width="9.140625" style="248"/>
    <col min="3585" max="3585" width="27.7109375" style="248" customWidth="1"/>
    <col min="3586" max="3586" width="9.140625" style="248"/>
    <col min="3587" max="3587" width="8.28515625" style="248" customWidth="1"/>
    <col min="3588" max="3588" width="8.7109375" style="248" customWidth="1"/>
    <col min="3589" max="3589" width="9.140625" style="248" customWidth="1"/>
    <col min="3590" max="3590" width="9.42578125" style="248" customWidth="1"/>
    <col min="3591" max="3591" width="9.140625" style="248"/>
    <col min="3592" max="3592" width="12" style="248" customWidth="1"/>
    <col min="3593" max="3593" width="9.140625" style="248"/>
    <col min="3594" max="3594" width="8.42578125" style="248" customWidth="1"/>
    <col min="3595" max="3595" width="6.7109375" style="248" customWidth="1"/>
    <col min="3596" max="3596" width="7.5703125" style="248" customWidth="1"/>
    <col min="3597" max="3597" width="10.140625" style="248" customWidth="1"/>
    <col min="3598" max="3598" width="8" style="248" customWidth="1"/>
    <col min="3599" max="3840" width="9.140625" style="248"/>
    <col min="3841" max="3841" width="27.7109375" style="248" customWidth="1"/>
    <col min="3842" max="3842" width="9.140625" style="248"/>
    <col min="3843" max="3843" width="8.28515625" style="248" customWidth="1"/>
    <col min="3844" max="3844" width="8.7109375" style="248" customWidth="1"/>
    <col min="3845" max="3845" width="9.140625" style="248" customWidth="1"/>
    <col min="3846" max="3846" width="9.42578125" style="248" customWidth="1"/>
    <col min="3847" max="3847" width="9.140625" style="248"/>
    <col min="3848" max="3848" width="12" style="248" customWidth="1"/>
    <col min="3849" max="3849" width="9.140625" style="248"/>
    <col min="3850" max="3850" width="8.42578125" style="248" customWidth="1"/>
    <col min="3851" max="3851" width="6.7109375" style="248" customWidth="1"/>
    <col min="3852" max="3852" width="7.5703125" style="248" customWidth="1"/>
    <col min="3853" max="3853" width="10.140625" style="248" customWidth="1"/>
    <col min="3854" max="3854" width="8" style="248" customWidth="1"/>
    <col min="3855" max="4096" width="9.140625" style="248"/>
    <col min="4097" max="4097" width="27.7109375" style="248" customWidth="1"/>
    <col min="4098" max="4098" width="9.140625" style="248"/>
    <col min="4099" max="4099" width="8.28515625" style="248" customWidth="1"/>
    <col min="4100" max="4100" width="8.7109375" style="248" customWidth="1"/>
    <col min="4101" max="4101" width="9.140625" style="248" customWidth="1"/>
    <col min="4102" max="4102" width="9.42578125" style="248" customWidth="1"/>
    <col min="4103" max="4103" width="9.140625" style="248"/>
    <col min="4104" max="4104" width="12" style="248" customWidth="1"/>
    <col min="4105" max="4105" width="9.140625" style="248"/>
    <col min="4106" max="4106" width="8.42578125" style="248" customWidth="1"/>
    <col min="4107" max="4107" width="6.7109375" style="248" customWidth="1"/>
    <col min="4108" max="4108" width="7.5703125" style="248" customWidth="1"/>
    <col min="4109" max="4109" width="10.140625" style="248" customWidth="1"/>
    <col min="4110" max="4110" width="8" style="248" customWidth="1"/>
    <col min="4111" max="4352" width="9.140625" style="248"/>
    <col min="4353" max="4353" width="27.7109375" style="248" customWidth="1"/>
    <col min="4354" max="4354" width="9.140625" style="248"/>
    <col min="4355" max="4355" width="8.28515625" style="248" customWidth="1"/>
    <col min="4356" max="4356" width="8.7109375" style="248" customWidth="1"/>
    <col min="4357" max="4357" width="9.140625" style="248" customWidth="1"/>
    <col min="4358" max="4358" width="9.42578125" style="248" customWidth="1"/>
    <col min="4359" max="4359" width="9.140625" style="248"/>
    <col min="4360" max="4360" width="12" style="248" customWidth="1"/>
    <col min="4361" max="4361" width="9.140625" style="248"/>
    <col min="4362" max="4362" width="8.42578125" style="248" customWidth="1"/>
    <col min="4363" max="4363" width="6.7109375" style="248" customWidth="1"/>
    <col min="4364" max="4364" width="7.5703125" style="248" customWidth="1"/>
    <col min="4365" max="4365" width="10.140625" style="248" customWidth="1"/>
    <col min="4366" max="4366" width="8" style="248" customWidth="1"/>
    <col min="4367" max="4608" width="9.140625" style="248"/>
    <col min="4609" max="4609" width="27.7109375" style="248" customWidth="1"/>
    <col min="4610" max="4610" width="9.140625" style="248"/>
    <col min="4611" max="4611" width="8.28515625" style="248" customWidth="1"/>
    <col min="4612" max="4612" width="8.7109375" style="248" customWidth="1"/>
    <col min="4613" max="4613" width="9.140625" style="248" customWidth="1"/>
    <col min="4614" max="4614" width="9.42578125" style="248" customWidth="1"/>
    <col min="4615" max="4615" width="9.140625" style="248"/>
    <col min="4616" max="4616" width="12" style="248" customWidth="1"/>
    <col min="4617" max="4617" width="9.140625" style="248"/>
    <col min="4618" max="4618" width="8.42578125" style="248" customWidth="1"/>
    <col min="4619" max="4619" width="6.7109375" style="248" customWidth="1"/>
    <col min="4620" max="4620" width="7.5703125" style="248" customWidth="1"/>
    <col min="4621" max="4621" width="10.140625" style="248" customWidth="1"/>
    <col min="4622" max="4622" width="8" style="248" customWidth="1"/>
    <col min="4623" max="4864" width="9.140625" style="248"/>
    <col min="4865" max="4865" width="27.7109375" style="248" customWidth="1"/>
    <col min="4866" max="4866" width="9.140625" style="248"/>
    <col min="4867" max="4867" width="8.28515625" style="248" customWidth="1"/>
    <col min="4868" max="4868" width="8.7109375" style="248" customWidth="1"/>
    <col min="4869" max="4869" width="9.140625" style="248" customWidth="1"/>
    <col min="4870" max="4870" width="9.42578125" style="248" customWidth="1"/>
    <col min="4871" max="4871" width="9.140625" style="248"/>
    <col min="4872" max="4872" width="12" style="248" customWidth="1"/>
    <col min="4873" max="4873" width="9.140625" style="248"/>
    <col min="4874" max="4874" width="8.42578125" style="248" customWidth="1"/>
    <col min="4875" max="4875" width="6.7109375" style="248" customWidth="1"/>
    <col min="4876" max="4876" width="7.5703125" style="248" customWidth="1"/>
    <col min="4877" max="4877" width="10.140625" style="248" customWidth="1"/>
    <col min="4878" max="4878" width="8" style="248" customWidth="1"/>
    <col min="4879" max="5120" width="9.140625" style="248"/>
    <col min="5121" max="5121" width="27.7109375" style="248" customWidth="1"/>
    <col min="5122" max="5122" width="9.140625" style="248"/>
    <col min="5123" max="5123" width="8.28515625" style="248" customWidth="1"/>
    <col min="5124" max="5124" width="8.7109375" style="248" customWidth="1"/>
    <col min="5125" max="5125" width="9.140625" style="248" customWidth="1"/>
    <col min="5126" max="5126" width="9.42578125" style="248" customWidth="1"/>
    <col min="5127" max="5127" width="9.140625" style="248"/>
    <col min="5128" max="5128" width="12" style="248" customWidth="1"/>
    <col min="5129" max="5129" width="9.140625" style="248"/>
    <col min="5130" max="5130" width="8.42578125" style="248" customWidth="1"/>
    <col min="5131" max="5131" width="6.7109375" style="248" customWidth="1"/>
    <col min="5132" max="5132" width="7.5703125" style="248" customWidth="1"/>
    <col min="5133" max="5133" width="10.140625" style="248" customWidth="1"/>
    <col min="5134" max="5134" width="8" style="248" customWidth="1"/>
    <col min="5135" max="5376" width="9.140625" style="248"/>
    <col min="5377" max="5377" width="27.7109375" style="248" customWidth="1"/>
    <col min="5378" max="5378" width="9.140625" style="248"/>
    <col min="5379" max="5379" width="8.28515625" style="248" customWidth="1"/>
    <col min="5380" max="5380" width="8.7109375" style="248" customWidth="1"/>
    <col min="5381" max="5381" width="9.140625" style="248" customWidth="1"/>
    <col min="5382" max="5382" width="9.42578125" style="248" customWidth="1"/>
    <col min="5383" max="5383" width="9.140625" style="248"/>
    <col min="5384" max="5384" width="12" style="248" customWidth="1"/>
    <col min="5385" max="5385" width="9.140625" style="248"/>
    <col min="5386" max="5386" width="8.42578125" style="248" customWidth="1"/>
    <col min="5387" max="5387" width="6.7109375" style="248" customWidth="1"/>
    <col min="5388" max="5388" width="7.5703125" style="248" customWidth="1"/>
    <col min="5389" max="5389" width="10.140625" style="248" customWidth="1"/>
    <col min="5390" max="5390" width="8" style="248" customWidth="1"/>
    <col min="5391" max="5632" width="9.140625" style="248"/>
    <col min="5633" max="5633" width="27.7109375" style="248" customWidth="1"/>
    <col min="5634" max="5634" width="9.140625" style="248"/>
    <col min="5635" max="5635" width="8.28515625" style="248" customWidth="1"/>
    <col min="5636" max="5636" width="8.7109375" style="248" customWidth="1"/>
    <col min="5637" max="5637" width="9.140625" style="248" customWidth="1"/>
    <col min="5638" max="5638" width="9.42578125" style="248" customWidth="1"/>
    <col min="5639" max="5639" width="9.140625" style="248"/>
    <col min="5640" max="5640" width="12" style="248" customWidth="1"/>
    <col min="5641" max="5641" width="9.140625" style="248"/>
    <col min="5642" max="5642" width="8.42578125" style="248" customWidth="1"/>
    <col min="5643" max="5643" width="6.7109375" style="248" customWidth="1"/>
    <col min="5644" max="5644" width="7.5703125" style="248" customWidth="1"/>
    <col min="5645" max="5645" width="10.140625" style="248" customWidth="1"/>
    <col min="5646" max="5646" width="8" style="248" customWidth="1"/>
    <col min="5647" max="5888" width="9.140625" style="248"/>
    <col min="5889" max="5889" width="27.7109375" style="248" customWidth="1"/>
    <col min="5890" max="5890" width="9.140625" style="248"/>
    <col min="5891" max="5891" width="8.28515625" style="248" customWidth="1"/>
    <col min="5892" max="5892" width="8.7109375" style="248" customWidth="1"/>
    <col min="5893" max="5893" width="9.140625" style="248" customWidth="1"/>
    <col min="5894" max="5894" width="9.42578125" style="248" customWidth="1"/>
    <col min="5895" max="5895" width="9.140625" style="248"/>
    <col min="5896" max="5896" width="12" style="248" customWidth="1"/>
    <col min="5897" max="5897" width="9.140625" style="248"/>
    <col min="5898" max="5898" width="8.42578125" style="248" customWidth="1"/>
    <col min="5899" max="5899" width="6.7109375" style="248" customWidth="1"/>
    <col min="5900" max="5900" width="7.5703125" style="248" customWidth="1"/>
    <col min="5901" max="5901" width="10.140625" style="248" customWidth="1"/>
    <col min="5902" max="5902" width="8" style="248" customWidth="1"/>
    <col min="5903" max="6144" width="9.140625" style="248"/>
    <col min="6145" max="6145" width="27.7109375" style="248" customWidth="1"/>
    <col min="6146" max="6146" width="9.140625" style="248"/>
    <col min="6147" max="6147" width="8.28515625" style="248" customWidth="1"/>
    <col min="6148" max="6148" width="8.7109375" style="248" customWidth="1"/>
    <col min="6149" max="6149" width="9.140625" style="248" customWidth="1"/>
    <col min="6150" max="6150" width="9.42578125" style="248" customWidth="1"/>
    <col min="6151" max="6151" width="9.140625" style="248"/>
    <col min="6152" max="6152" width="12" style="248" customWidth="1"/>
    <col min="6153" max="6153" width="9.140625" style="248"/>
    <col min="6154" max="6154" width="8.42578125" style="248" customWidth="1"/>
    <col min="6155" max="6155" width="6.7109375" style="248" customWidth="1"/>
    <col min="6156" max="6156" width="7.5703125" style="248" customWidth="1"/>
    <col min="6157" max="6157" width="10.140625" style="248" customWidth="1"/>
    <col min="6158" max="6158" width="8" style="248" customWidth="1"/>
    <col min="6159" max="6400" width="9.140625" style="248"/>
    <col min="6401" max="6401" width="27.7109375" style="248" customWidth="1"/>
    <col min="6402" max="6402" width="9.140625" style="248"/>
    <col min="6403" max="6403" width="8.28515625" style="248" customWidth="1"/>
    <col min="6404" max="6404" width="8.7109375" style="248" customWidth="1"/>
    <col min="6405" max="6405" width="9.140625" style="248" customWidth="1"/>
    <col min="6406" max="6406" width="9.42578125" style="248" customWidth="1"/>
    <col min="6407" max="6407" width="9.140625" style="248"/>
    <col min="6408" max="6408" width="12" style="248" customWidth="1"/>
    <col min="6409" max="6409" width="9.140625" style="248"/>
    <col min="6410" max="6410" width="8.42578125" style="248" customWidth="1"/>
    <col min="6411" max="6411" width="6.7109375" style="248" customWidth="1"/>
    <col min="6412" max="6412" width="7.5703125" style="248" customWidth="1"/>
    <col min="6413" max="6413" width="10.140625" style="248" customWidth="1"/>
    <col min="6414" max="6414" width="8" style="248" customWidth="1"/>
    <col min="6415" max="6656" width="9.140625" style="248"/>
    <col min="6657" max="6657" width="27.7109375" style="248" customWidth="1"/>
    <col min="6658" max="6658" width="9.140625" style="248"/>
    <col min="6659" max="6659" width="8.28515625" style="248" customWidth="1"/>
    <col min="6660" max="6660" width="8.7109375" style="248" customWidth="1"/>
    <col min="6661" max="6661" width="9.140625" style="248" customWidth="1"/>
    <col min="6662" max="6662" width="9.42578125" style="248" customWidth="1"/>
    <col min="6663" max="6663" width="9.140625" style="248"/>
    <col min="6664" max="6664" width="12" style="248" customWidth="1"/>
    <col min="6665" max="6665" width="9.140625" style="248"/>
    <col min="6666" max="6666" width="8.42578125" style="248" customWidth="1"/>
    <col min="6667" max="6667" width="6.7109375" style="248" customWidth="1"/>
    <col min="6668" max="6668" width="7.5703125" style="248" customWidth="1"/>
    <col min="6669" max="6669" width="10.140625" style="248" customWidth="1"/>
    <col min="6670" max="6670" width="8" style="248" customWidth="1"/>
    <col min="6671" max="6912" width="9.140625" style="248"/>
    <col min="6913" max="6913" width="27.7109375" style="248" customWidth="1"/>
    <col min="6914" max="6914" width="9.140625" style="248"/>
    <col min="6915" max="6915" width="8.28515625" style="248" customWidth="1"/>
    <col min="6916" max="6916" width="8.7109375" style="248" customWidth="1"/>
    <col min="6917" max="6917" width="9.140625" style="248" customWidth="1"/>
    <col min="6918" max="6918" width="9.42578125" style="248" customWidth="1"/>
    <col min="6919" max="6919" width="9.140625" style="248"/>
    <col min="6920" max="6920" width="12" style="248" customWidth="1"/>
    <col min="6921" max="6921" width="9.140625" style="248"/>
    <col min="6922" max="6922" width="8.42578125" style="248" customWidth="1"/>
    <col min="6923" max="6923" width="6.7109375" style="248" customWidth="1"/>
    <col min="6924" max="6924" width="7.5703125" style="248" customWidth="1"/>
    <col min="6925" max="6925" width="10.140625" style="248" customWidth="1"/>
    <col min="6926" max="6926" width="8" style="248" customWidth="1"/>
    <col min="6927" max="7168" width="9.140625" style="248"/>
    <col min="7169" max="7169" width="27.7109375" style="248" customWidth="1"/>
    <col min="7170" max="7170" width="9.140625" style="248"/>
    <col min="7171" max="7171" width="8.28515625" style="248" customWidth="1"/>
    <col min="7172" max="7172" width="8.7109375" style="248" customWidth="1"/>
    <col min="7173" max="7173" width="9.140625" style="248" customWidth="1"/>
    <col min="7174" max="7174" width="9.42578125" style="248" customWidth="1"/>
    <col min="7175" max="7175" width="9.140625" style="248"/>
    <col min="7176" max="7176" width="12" style="248" customWidth="1"/>
    <col min="7177" max="7177" width="9.140625" style="248"/>
    <col min="7178" max="7178" width="8.42578125" style="248" customWidth="1"/>
    <col min="7179" max="7179" width="6.7109375" style="248" customWidth="1"/>
    <col min="7180" max="7180" width="7.5703125" style="248" customWidth="1"/>
    <col min="7181" max="7181" width="10.140625" style="248" customWidth="1"/>
    <col min="7182" max="7182" width="8" style="248" customWidth="1"/>
    <col min="7183" max="7424" width="9.140625" style="248"/>
    <col min="7425" max="7425" width="27.7109375" style="248" customWidth="1"/>
    <col min="7426" max="7426" width="9.140625" style="248"/>
    <col min="7427" max="7427" width="8.28515625" style="248" customWidth="1"/>
    <col min="7428" max="7428" width="8.7109375" style="248" customWidth="1"/>
    <col min="7429" max="7429" width="9.140625" style="248" customWidth="1"/>
    <col min="7430" max="7430" width="9.42578125" style="248" customWidth="1"/>
    <col min="7431" max="7431" width="9.140625" style="248"/>
    <col min="7432" max="7432" width="12" style="248" customWidth="1"/>
    <col min="7433" max="7433" width="9.140625" style="248"/>
    <col min="7434" max="7434" width="8.42578125" style="248" customWidth="1"/>
    <col min="7435" max="7435" width="6.7109375" style="248" customWidth="1"/>
    <col min="7436" max="7436" width="7.5703125" style="248" customWidth="1"/>
    <col min="7437" max="7437" width="10.140625" style="248" customWidth="1"/>
    <col min="7438" max="7438" width="8" style="248" customWidth="1"/>
    <col min="7439" max="7680" width="9.140625" style="248"/>
    <col min="7681" max="7681" width="27.7109375" style="248" customWidth="1"/>
    <col min="7682" max="7682" width="9.140625" style="248"/>
    <col min="7683" max="7683" width="8.28515625" style="248" customWidth="1"/>
    <col min="7684" max="7684" width="8.7109375" style="248" customWidth="1"/>
    <col min="7685" max="7685" width="9.140625" style="248" customWidth="1"/>
    <col min="7686" max="7686" width="9.42578125" style="248" customWidth="1"/>
    <col min="7687" max="7687" width="9.140625" style="248"/>
    <col min="7688" max="7688" width="12" style="248" customWidth="1"/>
    <col min="7689" max="7689" width="9.140625" style="248"/>
    <col min="7690" max="7690" width="8.42578125" style="248" customWidth="1"/>
    <col min="7691" max="7691" width="6.7109375" style="248" customWidth="1"/>
    <col min="7692" max="7692" width="7.5703125" style="248" customWidth="1"/>
    <col min="7693" max="7693" width="10.140625" style="248" customWidth="1"/>
    <col min="7694" max="7694" width="8" style="248" customWidth="1"/>
    <col min="7695" max="7936" width="9.140625" style="248"/>
    <col min="7937" max="7937" width="27.7109375" style="248" customWidth="1"/>
    <col min="7938" max="7938" width="9.140625" style="248"/>
    <col min="7939" max="7939" width="8.28515625" style="248" customWidth="1"/>
    <col min="7940" max="7940" width="8.7109375" style="248" customWidth="1"/>
    <col min="7941" max="7941" width="9.140625" style="248" customWidth="1"/>
    <col min="7942" max="7942" width="9.42578125" style="248" customWidth="1"/>
    <col min="7943" max="7943" width="9.140625" style="248"/>
    <col min="7944" max="7944" width="12" style="248" customWidth="1"/>
    <col min="7945" max="7945" width="9.140625" style="248"/>
    <col min="7946" max="7946" width="8.42578125" style="248" customWidth="1"/>
    <col min="7947" max="7947" width="6.7109375" style="248" customWidth="1"/>
    <col min="7948" max="7948" width="7.5703125" style="248" customWidth="1"/>
    <col min="7949" max="7949" width="10.140625" style="248" customWidth="1"/>
    <col min="7950" max="7950" width="8" style="248" customWidth="1"/>
    <col min="7951" max="8192" width="9.140625" style="248"/>
    <col min="8193" max="8193" width="27.7109375" style="248" customWidth="1"/>
    <col min="8194" max="8194" width="9.140625" style="248"/>
    <col min="8195" max="8195" width="8.28515625" style="248" customWidth="1"/>
    <col min="8196" max="8196" width="8.7109375" style="248" customWidth="1"/>
    <col min="8197" max="8197" width="9.140625" style="248" customWidth="1"/>
    <col min="8198" max="8198" width="9.42578125" style="248" customWidth="1"/>
    <col min="8199" max="8199" width="9.140625" style="248"/>
    <col min="8200" max="8200" width="12" style="248" customWidth="1"/>
    <col min="8201" max="8201" width="9.140625" style="248"/>
    <col min="8202" max="8202" width="8.42578125" style="248" customWidth="1"/>
    <col min="8203" max="8203" width="6.7109375" style="248" customWidth="1"/>
    <col min="8204" max="8204" width="7.5703125" style="248" customWidth="1"/>
    <col min="8205" max="8205" width="10.140625" style="248" customWidth="1"/>
    <col min="8206" max="8206" width="8" style="248" customWidth="1"/>
    <col min="8207" max="8448" width="9.140625" style="248"/>
    <col min="8449" max="8449" width="27.7109375" style="248" customWidth="1"/>
    <col min="8450" max="8450" width="9.140625" style="248"/>
    <col min="8451" max="8451" width="8.28515625" style="248" customWidth="1"/>
    <col min="8452" max="8452" width="8.7109375" style="248" customWidth="1"/>
    <col min="8453" max="8453" width="9.140625" style="248" customWidth="1"/>
    <col min="8454" max="8454" width="9.42578125" style="248" customWidth="1"/>
    <col min="8455" max="8455" width="9.140625" style="248"/>
    <col min="8456" max="8456" width="12" style="248" customWidth="1"/>
    <col min="8457" max="8457" width="9.140625" style="248"/>
    <col min="8458" max="8458" width="8.42578125" style="248" customWidth="1"/>
    <col min="8459" max="8459" width="6.7109375" style="248" customWidth="1"/>
    <col min="8460" max="8460" width="7.5703125" style="248" customWidth="1"/>
    <col min="8461" max="8461" width="10.140625" style="248" customWidth="1"/>
    <col min="8462" max="8462" width="8" style="248" customWidth="1"/>
    <col min="8463" max="8704" width="9.140625" style="248"/>
    <col min="8705" max="8705" width="27.7109375" style="248" customWidth="1"/>
    <col min="8706" max="8706" width="9.140625" style="248"/>
    <col min="8707" max="8707" width="8.28515625" style="248" customWidth="1"/>
    <col min="8708" max="8708" width="8.7109375" style="248" customWidth="1"/>
    <col min="8709" max="8709" width="9.140625" style="248" customWidth="1"/>
    <col min="8710" max="8710" width="9.42578125" style="248" customWidth="1"/>
    <col min="8711" max="8711" width="9.140625" style="248"/>
    <col min="8712" max="8712" width="12" style="248" customWidth="1"/>
    <col min="8713" max="8713" width="9.140625" style="248"/>
    <col min="8714" max="8714" width="8.42578125" style="248" customWidth="1"/>
    <col min="8715" max="8715" width="6.7109375" style="248" customWidth="1"/>
    <col min="8716" max="8716" width="7.5703125" style="248" customWidth="1"/>
    <col min="8717" max="8717" width="10.140625" style="248" customWidth="1"/>
    <col min="8718" max="8718" width="8" style="248" customWidth="1"/>
    <col min="8719" max="8960" width="9.140625" style="248"/>
    <col min="8961" max="8961" width="27.7109375" style="248" customWidth="1"/>
    <col min="8962" max="8962" width="9.140625" style="248"/>
    <col min="8963" max="8963" width="8.28515625" style="248" customWidth="1"/>
    <col min="8964" max="8964" width="8.7109375" style="248" customWidth="1"/>
    <col min="8965" max="8965" width="9.140625" style="248" customWidth="1"/>
    <col min="8966" max="8966" width="9.42578125" style="248" customWidth="1"/>
    <col min="8967" max="8967" width="9.140625" style="248"/>
    <col min="8968" max="8968" width="12" style="248" customWidth="1"/>
    <col min="8969" max="8969" width="9.140625" style="248"/>
    <col min="8970" max="8970" width="8.42578125" style="248" customWidth="1"/>
    <col min="8971" max="8971" width="6.7109375" style="248" customWidth="1"/>
    <col min="8972" max="8972" width="7.5703125" style="248" customWidth="1"/>
    <col min="8973" max="8973" width="10.140625" style="248" customWidth="1"/>
    <col min="8974" max="8974" width="8" style="248" customWidth="1"/>
    <col min="8975" max="9216" width="9.140625" style="248"/>
    <col min="9217" max="9217" width="27.7109375" style="248" customWidth="1"/>
    <col min="9218" max="9218" width="9.140625" style="248"/>
    <col min="9219" max="9219" width="8.28515625" style="248" customWidth="1"/>
    <col min="9220" max="9220" width="8.7109375" style="248" customWidth="1"/>
    <col min="9221" max="9221" width="9.140625" style="248" customWidth="1"/>
    <col min="9222" max="9222" width="9.42578125" style="248" customWidth="1"/>
    <col min="9223" max="9223" width="9.140625" style="248"/>
    <col min="9224" max="9224" width="12" style="248" customWidth="1"/>
    <col min="9225" max="9225" width="9.140625" style="248"/>
    <col min="9226" max="9226" width="8.42578125" style="248" customWidth="1"/>
    <col min="9227" max="9227" width="6.7109375" style="248" customWidth="1"/>
    <col min="9228" max="9228" width="7.5703125" style="248" customWidth="1"/>
    <col min="9229" max="9229" width="10.140625" style="248" customWidth="1"/>
    <col min="9230" max="9230" width="8" style="248" customWidth="1"/>
    <col min="9231" max="9472" width="9.140625" style="248"/>
    <col min="9473" max="9473" width="27.7109375" style="248" customWidth="1"/>
    <col min="9474" max="9474" width="9.140625" style="248"/>
    <col min="9475" max="9475" width="8.28515625" style="248" customWidth="1"/>
    <col min="9476" max="9476" width="8.7109375" style="248" customWidth="1"/>
    <col min="9477" max="9477" width="9.140625" style="248" customWidth="1"/>
    <col min="9478" max="9478" width="9.42578125" style="248" customWidth="1"/>
    <col min="9479" max="9479" width="9.140625" style="248"/>
    <col min="9480" max="9480" width="12" style="248" customWidth="1"/>
    <col min="9481" max="9481" width="9.140625" style="248"/>
    <col min="9482" max="9482" width="8.42578125" style="248" customWidth="1"/>
    <col min="9483" max="9483" width="6.7109375" style="248" customWidth="1"/>
    <col min="9484" max="9484" width="7.5703125" style="248" customWidth="1"/>
    <col min="9485" max="9485" width="10.140625" style="248" customWidth="1"/>
    <col min="9486" max="9486" width="8" style="248" customWidth="1"/>
    <col min="9487" max="9728" width="9.140625" style="248"/>
    <col min="9729" max="9729" width="27.7109375" style="248" customWidth="1"/>
    <col min="9730" max="9730" width="9.140625" style="248"/>
    <col min="9731" max="9731" width="8.28515625" style="248" customWidth="1"/>
    <col min="9732" max="9732" width="8.7109375" style="248" customWidth="1"/>
    <col min="9733" max="9733" width="9.140625" style="248" customWidth="1"/>
    <col min="9734" max="9734" width="9.42578125" style="248" customWidth="1"/>
    <col min="9735" max="9735" width="9.140625" style="248"/>
    <col min="9736" max="9736" width="12" style="248" customWidth="1"/>
    <col min="9737" max="9737" width="9.140625" style="248"/>
    <col min="9738" max="9738" width="8.42578125" style="248" customWidth="1"/>
    <col min="9739" max="9739" width="6.7109375" style="248" customWidth="1"/>
    <col min="9740" max="9740" width="7.5703125" style="248" customWidth="1"/>
    <col min="9741" max="9741" width="10.140625" style="248" customWidth="1"/>
    <col min="9742" max="9742" width="8" style="248" customWidth="1"/>
    <col min="9743" max="9984" width="9.140625" style="248"/>
    <col min="9985" max="9985" width="27.7109375" style="248" customWidth="1"/>
    <col min="9986" max="9986" width="9.140625" style="248"/>
    <col min="9987" max="9987" width="8.28515625" style="248" customWidth="1"/>
    <col min="9988" max="9988" width="8.7109375" style="248" customWidth="1"/>
    <col min="9989" max="9989" width="9.140625" style="248" customWidth="1"/>
    <col min="9990" max="9990" width="9.42578125" style="248" customWidth="1"/>
    <col min="9991" max="9991" width="9.140625" style="248"/>
    <col min="9992" max="9992" width="12" style="248" customWidth="1"/>
    <col min="9993" max="9993" width="9.140625" style="248"/>
    <col min="9994" max="9994" width="8.42578125" style="248" customWidth="1"/>
    <col min="9995" max="9995" width="6.7109375" style="248" customWidth="1"/>
    <col min="9996" max="9996" width="7.5703125" style="248" customWidth="1"/>
    <col min="9997" max="9997" width="10.140625" style="248" customWidth="1"/>
    <col min="9998" max="9998" width="8" style="248" customWidth="1"/>
    <col min="9999" max="10240" width="9.140625" style="248"/>
    <col min="10241" max="10241" width="27.7109375" style="248" customWidth="1"/>
    <col min="10242" max="10242" width="9.140625" style="248"/>
    <col min="10243" max="10243" width="8.28515625" style="248" customWidth="1"/>
    <col min="10244" max="10244" width="8.7109375" style="248" customWidth="1"/>
    <col min="10245" max="10245" width="9.140625" style="248" customWidth="1"/>
    <col min="10246" max="10246" width="9.42578125" style="248" customWidth="1"/>
    <col min="10247" max="10247" width="9.140625" style="248"/>
    <col min="10248" max="10248" width="12" style="248" customWidth="1"/>
    <col min="10249" max="10249" width="9.140625" style="248"/>
    <col min="10250" max="10250" width="8.42578125" style="248" customWidth="1"/>
    <col min="10251" max="10251" width="6.7109375" style="248" customWidth="1"/>
    <col min="10252" max="10252" width="7.5703125" style="248" customWidth="1"/>
    <col min="10253" max="10253" width="10.140625" style="248" customWidth="1"/>
    <col min="10254" max="10254" width="8" style="248" customWidth="1"/>
    <col min="10255" max="10496" width="9.140625" style="248"/>
    <col min="10497" max="10497" width="27.7109375" style="248" customWidth="1"/>
    <col min="10498" max="10498" width="9.140625" style="248"/>
    <col min="10499" max="10499" width="8.28515625" style="248" customWidth="1"/>
    <col min="10500" max="10500" width="8.7109375" style="248" customWidth="1"/>
    <col min="10501" max="10501" width="9.140625" style="248" customWidth="1"/>
    <col min="10502" max="10502" width="9.42578125" style="248" customWidth="1"/>
    <col min="10503" max="10503" width="9.140625" style="248"/>
    <col min="10504" max="10504" width="12" style="248" customWidth="1"/>
    <col min="10505" max="10505" width="9.140625" style="248"/>
    <col min="10506" max="10506" width="8.42578125" style="248" customWidth="1"/>
    <col min="10507" max="10507" width="6.7109375" style="248" customWidth="1"/>
    <col min="10508" max="10508" width="7.5703125" style="248" customWidth="1"/>
    <col min="10509" max="10509" width="10.140625" style="248" customWidth="1"/>
    <col min="10510" max="10510" width="8" style="248" customWidth="1"/>
    <col min="10511" max="10752" width="9.140625" style="248"/>
    <col min="10753" max="10753" width="27.7109375" style="248" customWidth="1"/>
    <col min="10754" max="10754" width="9.140625" style="248"/>
    <col min="10755" max="10755" width="8.28515625" style="248" customWidth="1"/>
    <col min="10756" max="10756" width="8.7109375" style="248" customWidth="1"/>
    <col min="10757" max="10757" width="9.140625" style="248" customWidth="1"/>
    <col min="10758" max="10758" width="9.42578125" style="248" customWidth="1"/>
    <col min="10759" max="10759" width="9.140625" style="248"/>
    <col min="10760" max="10760" width="12" style="248" customWidth="1"/>
    <col min="10761" max="10761" width="9.140625" style="248"/>
    <col min="10762" max="10762" width="8.42578125" style="248" customWidth="1"/>
    <col min="10763" max="10763" width="6.7109375" style="248" customWidth="1"/>
    <col min="10764" max="10764" width="7.5703125" style="248" customWidth="1"/>
    <col min="10765" max="10765" width="10.140625" style="248" customWidth="1"/>
    <col min="10766" max="10766" width="8" style="248" customWidth="1"/>
    <col min="10767" max="11008" width="9.140625" style="248"/>
    <col min="11009" max="11009" width="27.7109375" style="248" customWidth="1"/>
    <col min="11010" max="11010" width="9.140625" style="248"/>
    <col min="11011" max="11011" width="8.28515625" style="248" customWidth="1"/>
    <col min="11012" max="11012" width="8.7109375" style="248" customWidth="1"/>
    <col min="11013" max="11013" width="9.140625" style="248" customWidth="1"/>
    <col min="11014" max="11014" width="9.42578125" style="248" customWidth="1"/>
    <col min="11015" max="11015" width="9.140625" style="248"/>
    <col min="11016" max="11016" width="12" style="248" customWidth="1"/>
    <col min="11017" max="11017" width="9.140625" style="248"/>
    <col min="11018" max="11018" width="8.42578125" style="248" customWidth="1"/>
    <col min="11019" max="11019" width="6.7109375" style="248" customWidth="1"/>
    <col min="11020" max="11020" width="7.5703125" style="248" customWidth="1"/>
    <col min="11021" max="11021" width="10.140625" style="248" customWidth="1"/>
    <col min="11022" max="11022" width="8" style="248" customWidth="1"/>
    <col min="11023" max="11264" width="9.140625" style="248"/>
    <col min="11265" max="11265" width="27.7109375" style="248" customWidth="1"/>
    <col min="11266" max="11266" width="9.140625" style="248"/>
    <col min="11267" max="11267" width="8.28515625" style="248" customWidth="1"/>
    <col min="11268" max="11268" width="8.7109375" style="248" customWidth="1"/>
    <col min="11269" max="11269" width="9.140625" style="248" customWidth="1"/>
    <col min="11270" max="11270" width="9.42578125" style="248" customWidth="1"/>
    <col min="11271" max="11271" width="9.140625" style="248"/>
    <col min="11272" max="11272" width="12" style="248" customWidth="1"/>
    <col min="11273" max="11273" width="9.140625" style="248"/>
    <col min="11274" max="11274" width="8.42578125" style="248" customWidth="1"/>
    <col min="11275" max="11275" width="6.7109375" style="248" customWidth="1"/>
    <col min="11276" max="11276" width="7.5703125" style="248" customWidth="1"/>
    <col min="11277" max="11277" width="10.140625" style="248" customWidth="1"/>
    <col min="11278" max="11278" width="8" style="248" customWidth="1"/>
    <col min="11279" max="11520" width="9.140625" style="248"/>
    <col min="11521" max="11521" width="27.7109375" style="248" customWidth="1"/>
    <col min="11522" max="11522" width="9.140625" style="248"/>
    <col min="11523" max="11523" width="8.28515625" style="248" customWidth="1"/>
    <col min="11524" max="11524" width="8.7109375" style="248" customWidth="1"/>
    <col min="11525" max="11525" width="9.140625" style="248" customWidth="1"/>
    <col min="11526" max="11526" width="9.42578125" style="248" customWidth="1"/>
    <col min="11527" max="11527" width="9.140625" style="248"/>
    <col min="11528" max="11528" width="12" style="248" customWidth="1"/>
    <col min="11529" max="11529" width="9.140625" style="248"/>
    <col min="11530" max="11530" width="8.42578125" style="248" customWidth="1"/>
    <col min="11531" max="11531" width="6.7109375" style="248" customWidth="1"/>
    <col min="11532" max="11532" width="7.5703125" style="248" customWidth="1"/>
    <col min="11533" max="11533" width="10.140625" style="248" customWidth="1"/>
    <col min="11534" max="11534" width="8" style="248" customWidth="1"/>
    <col min="11535" max="11776" width="9.140625" style="248"/>
    <col min="11777" max="11777" width="27.7109375" style="248" customWidth="1"/>
    <col min="11778" max="11778" width="9.140625" style="248"/>
    <col min="11779" max="11779" width="8.28515625" style="248" customWidth="1"/>
    <col min="11780" max="11780" width="8.7109375" style="248" customWidth="1"/>
    <col min="11781" max="11781" width="9.140625" style="248" customWidth="1"/>
    <col min="11782" max="11782" width="9.42578125" style="248" customWidth="1"/>
    <col min="11783" max="11783" width="9.140625" style="248"/>
    <col min="11784" max="11784" width="12" style="248" customWidth="1"/>
    <col min="11785" max="11785" width="9.140625" style="248"/>
    <col min="11786" max="11786" width="8.42578125" style="248" customWidth="1"/>
    <col min="11787" max="11787" width="6.7109375" style="248" customWidth="1"/>
    <col min="11788" max="11788" width="7.5703125" style="248" customWidth="1"/>
    <col min="11789" max="11789" width="10.140625" style="248" customWidth="1"/>
    <col min="11790" max="11790" width="8" style="248" customWidth="1"/>
    <col min="11791" max="12032" width="9.140625" style="248"/>
    <col min="12033" max="12033" width="27.7109375" style="248" customWidth="1"/>
    <col min="12034" max="12034" width="9.140625" style="248"/>
    <col min="12035" max="12035" width="8.28515625" style="248" customWidth="1"/>
    <col min="12036" max="12036" width="8.7109375" style="248" customWidth="1"/>
    <col min="12037" max="12037" width="9.140625" style="248" customWidth="1"/>
    <col min="12038" max="12038" width="9.42578125" style="248" customWidth="1"/>
    <col min="12039" max="12039" width="9.140625" style="248"/>
    <col min="12040" max="12040" width="12" style="248" customWidth="1"/>
    <col min="12041" max="12041" width="9.140625" style="248"/>
    <col min="12042" max="12042" width="8.42578125" style="248" customWidth="1"/>
    <col min="12043" max="12043" width="6.7109375" style="248" customWidth="1"/>
    <col min="12044" max="12044" width="7.5703125" style="248" customWidth="1"/>
    <col min="12045" max="12045" width="10.140625" style="248" customWidth="1"/>
    <col min="12046" max="12046" width="8" style="248" customWidth="1"/>
    <col min="12047" max="12288" width="9.140625" style="248"/>
    <col min="12289" max="12289" width="27.7109375" style="248" customWidth="1"/>
    <col min="12290" max="12290" width="9.140625" style="248"/>
    <col min="12291" max="12291" width="8.28515625" style="248" customWidth="1"/>
    <col min="12292" max="12292" width="8.7109375" style="248" customWidth="1"/>
    <col min="12293" max="12293" width="9.140625" style="248" customWidth="1"/>
    <col min="12294" max="12294" width="9.42578125" style="248" customWidth="1"/>
    <col min="12295" max="12295" width="9.140625" style="248"/>
    <col min="12296" max="12296" width="12" style="248" customWidth="1"/>
    <col min="12297" max="12297" width="9.140625" style="248"/>
    <col min="12298" max="12298" width="8.42578125" style="248" customWidth="1"/>
    <col min="12299" max="12299" width="6.7109375" style="248" customWidth="1"/>
    <col min="12300" max="12300" width="7.5703125" style="248" customWidth="1"/>
    <col min="12301" max="12301" width="10.140625" style="248" customWidth="1"/>
    <col min="12302" max="12302" width="8" style="248" customWidth="1"/>
    <col min="12303" max="12544" width="9.140625" style="248"/>
    <col min="12545" max="12545" width="27.7109375" style="248" customWidth="1"/>
    <col min="12546" max="12546" width="9.140625" style="248"/>
    <col min="12547" max="12547" width="8.28515625" style="248" customWidth="1"/>
    <col min="12548" max="12548" width="8.7109375" style="248" customWidth="1"/>
    <col min="12549" max="12549" width="9.140625" style="248" customWidth="1"/>
    <col min="12550" max="12550" width="9.42578125" style="248" customWidth="1"/>
    <col min="12551" max="12551" width="9.140625" style="248"/>
    <col min="12552" max="12552" width="12" style="248" customWidth="1"/>
    <col min="12553" max="12553" width="9.140625" style="248"/>
    <col min="12554" max="12554" width="8.42578125" style="248" customWidth="1"/>
    <col min="12555" max="12555" width="6.7109375" style="248" customWidth="1"/>
    <col min="12556" max="12556" width="7.5703125" style="248" customWidth="1"/>
    <col min="12557" max="12557" width="10.140625" style="248" customWidth="1"/>
    <col min="12558" max="12558" width="8" style="248" customWidth="1"/>
    <col min="12559" max="12800" width="9.140625" style="248"/>
    <col min="12801" max="12801" width="27.7109375" style="248" customWidth="1"/>
    <col min="12802" max="12802" width="9.140625" style="248"/>
    <col min="12803" max="12803" width="8.28515625" style="248" customWidth="1"/>
    <col min="12804" max="12804" width="8.7109375" style="248" customWidth="1"/>
    <col min="12805" max="12805" width="9.140625" style="248" customWidth="1"/>
    <col min="12806" max="12806" width="9.42578125" style="248" customWidth="1"/>
    <col min="12807" max="12807" width="9.140625" style="248"/>
    <col min="12808" max="12808" width="12" style="248" customWidth="1"/>
    <col min="12809" max="12809" width="9.140625" style="248"/>
    <col min="12810" max="12810" width="8.42578125" style="248" customWidth="1"/>
    <col min="12811" max="12811" width="6.7109375" style="248" customWidth="1"/>
    <col min="12812" max="12812" width="7.5703125" style="248" customWidth="1"/>
    <col min="12813" max="12813" width="10.140625" style="248" customWidth="1"/>
    <col min="12814" max="12814" width="8" style="248" customWidth="1"/>
    <col min="12815" max="13056" width="9.140625" style="248"/>
    <col min="13057" max="13057" width="27.7109375" style="248" customWidth="1"/>
    <col min="13058" max="13058" width="9.140625" style="248"/>
    <col min="13059" max="13059" width="8.28515625" style="248" customWidth="1"/>
    <col min="13060" max="13060" width="8.7109375" style="248" customWidth="1"/>
    <col min="13061" max="13061" width="9.140625" style="248" customWidth="1"/>
    <col min="13062" max="13062" width="9.42578125" style="248" customWidth="1"/>
    <col min="13063" max="13063" width="9.140625" style="248"/>
    <col min="13064" max="13064" width="12" style="248" customWidth="1"/>
    <col min="13065" max="13065" width="9.140625" style="248"/>
    <col min="13066" max="13066" width="8.42578125" style="248" customWidth="1"/>
    <col min="13067" max="13067" width="6.7109375" style="248" customWidth="1"/>
    <col min="13068" max="13068" width="7.5703125" style="248" customWidth="1"/>
    <col min="13069" max="13069" width="10.140625" style="248" customWidth="1"/>
    <col min="13070" max="13070" width="8" style="248" customWidth="1"/>
    <col min="13071" max="13312" width="9.140625" style="248"/>
    <col min="13313" max="13313" width="27.7109375" style="248" customWidth="1"/>
    <col min="13314" max="13314" width="9.140625" style="248"/>
    <col min="13315" max="13315" width="8.28515625" style="248" customWidth="1"/>
    <col min="13316" max="13316" width="8.7109375" style="248" customWidth="1"/>
    <col min="13317" max="13317" width="9.140625" style="248" customWidth="1"/>
    <col min="13318" max="13318" width="9.42578125" style="248" customWidth="1"/>
    <col min="13319" max="13319" width="9.140625" style="248"/>
    <col min="13320" max="13320" width="12" style="248" customWidth="1"/>
    <col min="13321" max="13321" width="9.140625" style="248"/>
    <col min="13322" max="13322" width="8.42578125" style="248" customWidth="1"/>
    <col min="13323" max="13323" width="6.7109375" style="248" customWidth="1"/>
    <col min="13324" max="13324" width="7.5703125" style="248" customWidth="1"/>
    <col min="13325" max="13325" width="10.140625" style="248" customWidth="1"/>
    <col min="13326" max="13326" width="8" style="248" customWidth="1"/>
    <col min="13327" max="13568" width="9.140625" style="248"/>
    <col min="13569" max="13569" width="27.7109375" style="248" customWidth="1"/>
    <col min="13570" max="13570" width="9.140625" style="248"/>
    <col min="13571" max="13571" width="8.28515625" style="248" customWidth="1"/>
    <col min="13572" max="13572" width="8.7109375" style="248" customWidth="1"/>
    <col min="13573" max="13573" width="9.140625" style="248" customWidth="1"/>
    <col min="13574" max="13574" width="9.42578125" style="248" customWidth="1"/>
    <col min="13575" max="13575" width="9.140625" style="248"/>
    <col min="13576" max="13576" width="12" style="248" customWidth="1"/>
    <col min="13577" max="13577" width="9.140625" style="248"/>
    <col min="13578" max="13578" width="8.42578125" style="248" customWidth="1"/>
    <col min="13579" max="13579" width="6.7109375" style="248" customWidth="1"/>
    <col min="13580" max="13580" width="7.5703125" style="248" customWidth="1"/>
    <col min="13581" max="13581" width="10.140625" style="248" customWidth="1"/>
    <col min="13582" max="13582" width="8" style="248" customWidth="1"/>
    <col min="13583" max="13824" width="9.140625" style="248"/>
    <col min="13825" max="13825" width="27.7109375" style="248" customWidth="1"/>
    <col min="13826" max="13826" width="9.140625" style="248"/>
    <col min="13827" max="13827" width="8.28515625" style="248" customWidth="1"/>
    <col min="13828" max="13828" width="8.7109375" style="248" customWidth="1"/>
    <col min="13829" max="13829" width="9.140625" style="248" customWidth="1"/>
    <col min="13830" max="13830" width="9.42578125" style="248" customWidth="1"/>
    <col min="13831" max="13831" width="9.140625" style="248"/>
    <col min="13832" max="13832" width="12" style="248" customWidth="1"/>
    <col min="13833" max="13833" width="9.140625" style="248"/>
    <col min="13834" max="13834" width="8.42578125" style="248" customWidth="1"/>
    <col min="13835" max="13835" width="6.7109375" style="248" customWidth="1"/>
    <col min="13836" max="13836" width="7.5703125" style="248" customWidth="1"/>
    <col min="13837" max="13837" width="10.140625" style="248" customWidth="1"/>
    <col min="13838" max="13838" width="8" style="248" customWidth="1"/>
    <col min="13839" max="14080" width="9.140625" style="248"/>
    <col min="14081" max="14081" width="27.7109375" style="248" customWidth="1"/>
    <col min="14082" max="14082" width="9.140625" style="248"/>
    <col min="14083" max="14083" width="8.28515625" style="248" customWidth="1"/>
    <col min="14084" max="14084" width="8.7109375" style="248" customWidth="1"/>
    <col min="14085" max="14085" width="9.140625" style="248" customWidth="1"/>
    <col min="14086" max="14086" width="9.42578125" style="248" customWidth="1"/>
    <col min="14087" max="14087" width="9.140625" style="248"/>
    <col min="14088" max="14088" width="12" style="248" customWidth="1"/>
    <col min="14089" max="14089" width="9.140625" style="248"/>
    <col min="14090" max="14090" width="8.42578125" style="248" customWidth="1"/>
    <col min="14091" max="14091" width="6.7109375" style="248" customWidth="1"/>
    <col min="14092" max="14092" width="7.5703125" style="248" customWidth="1"/>
    <col min="14093" max="14093" width="10.140625" style="248" customWidth="1"/>
    <col min="14094" max="14094" width="8" style="248" customWidth="1"/>
    <col min="14095" max="14336" width="9.140625" style="248"/>
    <col min="14337" max="14337" width="27.7109375" style="248" customWidth="1"/>
    <col min="14338" max="14338" width="9.140625" style="248"/>
    <col min="14339" max="14339" width="8.28515625" style="248" customWidth="1"/>
    <col min="14340" max="14340" width="8.7109375" style="248" customWidth="1"/>
    <col min="14341" max="14341" width="9.140625" style="248" customWidth="1"/>
    <col min="14342" max="14342" width="9.42578125" style="248" customWidth="1"/>
    <col min="14343" max="14343" width="9.140625" style="248"/>
    <col min="14344" max="14344" width="12" style="248" customWidth="1"/>
    <col min="14345" max="14345" width="9.140625" style="248"/>
    <col min="14346" max="14346" width="8.42578125" style="248" customWidth="1"/>
    <col min="14347" max="14347" width="6.7109375" style="248" customWidth="1"/>
    <col min="14348" max="14348" width="7.5703125" style="248" customWidth="1"/>
    <col min="14349" max="14349" width="10.140625" style="248" customWidth="1"/>
    <col min="14350" max="14350" width="8" style="248" customWidth="1"/>
    <col min="14351" max="14592" width="9.140625" style="248"/>
    <col min="14593" max="14593" width="27.7109375" style="248" customWidth="1"/>
    <col min="14594" max="14594" width="9.140625" style="248"/>
    <col min="14595" max="14595" width="8.28515625" style="248" customWidth="1"/>
    <col min="14596" max="14596" width="8.7109375" style="248" customWidth="1"/>
    <col min="14597" max="14597" width="9.140625" style="248" customWidth="1"/>
    <col min="14598" max="14598" width="9.42578125" style="248" customWidth="1"/>
    <col min="14599" max="14599" width="9.140625" style="248"/>
    <col min="14600" max="14600" width="12" style="248" customWidth="1"/>
    <col min="14601" max="14601" width="9.140625" style="248"/>
    <col min="14602" max="14602" width="8.42578125" style="248" customWidth="1"/>
    <col min="14603" max="14603" width="6.7109375" style="248" customWidth="1"/>
    <col min="14604" max="14604" width="7.5703125" style="248" customWidth="1"/>
    <col min="14605" max="14605" width="10.140625" style="248" customWidth="1"/>
    <col min="14606" max="14606" width="8" style="248" customWidth="1"/>
    <col min="14607" max="14848" width="9.140625" style="248"/>
    <col min="14849" max="14849" width="27.7109375" style="248" customWidth="1"/>
    <col min="14850" max="14850" width="9.140625" style="248"/>
    <col min="14851" max="14851" width="8.28515625" style="248" customWidth="1"/>
    <col min="14852" max="14852" width="8.7109375" style="248" customWidth="1"/>
    <col min="14853" max="14853" width="9.140625" style="248" customWidth="1"/>
    <col min="14854" max="14854" width="9.42578125" style="248" customWidth="1"/>
    <col min="14855" max="14855" width="9.140625" style="248"/>
    <col min="14856" max="14856" width="12" style="248" customWidth="1"/>
    <col min="14857" max="14857" width="9.140625" style="248"/>
    <col min="14858" max="14858" width="8.42578125" style="248" customWidth="1"/>
    <col min="14859" max="14859" width="6.7109375" style="248" customWidth="1"/>
    <col min="14860" max="14860" width="7.5703125" style="248" customWidth="1"/>
    <col min="14861" max="14861" width="10.140625" style="248" customWidth="1"/>
    <col min="14862" max="14862" width="8" style="248" customWidth="1"/>
    <col min="14863" max="15104" width="9.140625" style="248"/>
    <col min="15105" max="15105" width="27.7109375" style="248" customWidth="1"/>
    <col min="15106" max="15106" width="9.140625" style="248"/>
    <col min="15107" max="15107" width="8.28515625" style="248" customWidth="1"/>
    <col min="15108" max="15108" width="8.7109375" style="248" customWidth="1"/>
    <col min="15109" max="15109" width="9.140625" style="248" customWidth="1"/>
    <col min="15110" max="15110" width="9.42578125" style="248" customWidth="1"/>
    <col min="15111" max="15111" width="9.140625" style="248"/>
    <col min="15112" max="15112" width="12" style="248" customWidth="1"/>
    <col min="15113" max="15113" width="9.140625" style="248"/>
    <col min="15114" max="15114" width="8.42578125" style="248" customWidth="1"/>
    <col min="15115" max="15115" width="6.7109375" style="248" customWidth="1"/>
    <col min="15116" max="15116" width="7.5703125" style="248" customWidth="1"/>
    <col min="15117" max="15117" width="10.140625" style="248" customWidth="1"/>
    <col min="15118" max="15118" width="8" style="248" customWidth="1"/>
    <col min="15119" max="15360" width="9.140625" style="248"/>
    <col min="15361" max="15361" width="27.7109375" style="248" customWidth="1"/>
    <col min="15362" max="15362" width="9.140625" style="248"/>
    <col min="15363" max="15363" width="8.28515625" style="248" customWidth="1"/>
    <col min="15364" max="15364" width="8.7109375" style="248" customWidth="1"/>
    <col min="15365" max="15365" width="9.140625" style="248" customWidth="1"/>
    <col min="15366" max="15366" width="9.42578125" style="248" customWidth="1"/>
    <col min="15367" max="15367" width="9.140625" style="248"/>
    <col min="15368" max="15368" width="12" style="248" customWidth="1"/>
    <col min="15369" max="15369" width="9.140625" style="248"/>
    <col min="15370" max="15370" width="8.42578125" style="248" customWidth="1"/>
    <col min="15371" max="15371" width="6.7109375" style="248" customWidth="1"/>
    <col min="15372" max="15372" width="7.5703125" style="248" customWidth="1"/>
    <col min="15373" max="15373" width="10.140625" style="248" customWidth="1"/>
    <col min="15374" max="15374" width="8" style="248" customWidth="1"/>
    <col min="15375" max="15616" width="9.140625" style="248"/>
    <col min="15617" max="15617" width="27.7109375" style="248" customWidth="1"/>
    <col min="15618" max="15618" width="9.140625" style="248"/>
    <col min="15619" max="15619" width="8.28515625" style="248" customWidth="1"/>
    <col min="15620" max="15620" width="8.7109375" style="248" customWidth="1"/>
    <col min="15621" max="15621" width="9.140625" style="248" customWidth="1"/>
    <col min="15622" max="15622" width="9.42578125" style="248" customWidth="1"/>
    <col min="15623" max="15623" width="9.140625" style="248"/>
    <col min="15624" max="15624" width="12" style="248" customWidth="1"/>
    <col min="15625" max="15625" width="9.140625" style="248"/>
    <col min="15626" max="15626" width="8.42578125" style="248" customWidth="1"/>
    <col min="15627" max="15627" width="6.7109375" style="248" customWidth="1"/>
    <col min="15628" max="15628" width="7.5703125" style="248" customWidth="1"/>
    <col min="15629" max="15629" width="10.140625" style="248" customWidth="1"/>
    <col min="15630" max="15630" width="8" style="248" customWidth="1"/>
    <col min="15631" max="15872" width="9.140625" style="248"/>
    <col min="15873" max="15873" width="27.7109375" style="248" customWidth="1"/>
    <col min="15874" max="15874" width="9.140625" style="248"/>
    <col min="15875" max="15875" width="8.28515625" style="248" customWidth="1"/>
    <col min="15876" max="15876" width="8.7109375" style="248" customWidth="1"/>
    <col min="15877" max="15877" width="9.140625" style="248" customWidth="1"/>
    <col min="15878" max="15878" width="9.42578125" style="248" customWidth="1"/>
    <col min="15879" max="15879" width="9.140625" style="248"/>
    <col min="15880" max="15880" width="12" style="248" customWidth="1"/>
    <col min="15881" max="15881" width="9.140625" style="248"/>
    <col min="15882" max="15882" width="8.42578125" style="248" customWidth="1"/>
    <col min="15883" max="15883" width="6.7109375" style="248" customWidth="1"/>
    <col min="15884" max="15884" width="7.5703125" style="248" customWidth="1"/>
    <col min="15885" max="15885" width="10.140625" style="248" customWidth="1"/>
    <col min="15886" max="15886" width="8" style="248" customWidth="1"/>
    <col min="15887" max="16128" width="9.140625" style="248"/>
    <col min="16129" max="16129" width="27.7109375" style="248" customWidth="1"/>
    <col min="16130" max="16130" width="9.140625" style="248"/>
    <col min="16131" max="16131" width="8.28515625" style="248" customWidth="1"/>
    <col min="16132" max="16132" width="8.7109375" style="248" customWidth="1"/>
    <col min="16133" max="16133" width="9.140625" style="248" customWidth="1"/>
    <col min="16134" max="16134" width="9.42578125" style="248" customWidth="1"/>
    <col min="16135" max="16135" width="9.140625" style="248"/>
    <col min="16136" max="16136" width="12" style="248" customWidth="1"/>
    <col min="16137" max="16137" width="9.140625" style="248"/>
    <col min="16138" max="16138" width="8.42578125" style="248" customWidth="1"/>
    <col min="16139" max="16139" width="6.7109375" style="248" customWidth="1"/>
    <col min="16140" max="16140" width="7.5703125" style="248" customWidth="1"/>
    <col min="16141" max="16141" width="10.140625" style="248" customWidth="1"/>
    <col min="16142" max="16142" width="8" style="248" customWidth="1"/>
    <col min="16143" max="16384" width="9.140625" style="248"/>
  </cols>
  <sheetData>
    <row r="1" spans="1:14">
      <c r="A1" s="665" t="s">
        <v>436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</row>
    <row r="2" spans="1:14">
      <c r="A2" s="665" t="s">
        <v>437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</row>
    <row r="3" spans="1:14">
      <c r="A3" s="489" t="s">
        <v>585</v>
      </c>
      <c r="B3" s="489"/>
      <c r="C3" s="489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</row>
    <row r="4" spans="1:14" ht="26.25" customHeight="1">
      <c r="A4" s="446" t="s">
        <v>272</v>
      </c>
      <c r="B4" s="663" t="s">
        <v>438</v>
      </c>
      <c r="C4" s="663"/>
      <c r="D4" s="845" t="s">
        <v>439</v>
      </c>
      <c r="E4" s="845"/>
      <c r="F4" s="421">
        <v>10</v>
      </c>
      <c r="G4" s="845" t="s">
        <v>440</v>
      </c>
      <c r="H4" s="845"/>
      <c r="I4" s="421">
        <f>631+548+484+529+360+559+456+444+496+528</f>
        <v>5035</v>
      </c>
      <c r="J4" s="845" t="s">
        <v>441</v>
      </c>
      <c r="K4" s="845"/>
      <c r="L4" s="845"/>
      <c r="M4" s="663">
        <v>800</v>
      </c>
      <c r="N4" s="663"/>
    </row>
    <row r="5" spans="1:14">
      <c r="A5" s="422"/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</row>
    <row r="6" spans="1:14" ht="26.25" customHeight="1">
      <c r="A6" s="447" t="s">
        <v>311</v>
      </c>
      <c r="B6" s="663" t="s">
        <v>442</v>
      </c>
      <c r="C6" s="663"/>
      <c r="D6" s="663"/>
      <c r="E6" s="445" t="s">
        <v>280</v>
      </c>
      <c r="F6" s="445"/>
      <c r="G6" s="451"/>
      <c r="H6" s="663" t="s">
        <v>442</v>
      </c>
      <c r="I6" s="663"/>
      <c r="J6" s="663"/>
      <c r="K6" s="422"/>
      <c r="L6" s="422"/>
      <c r="M6" s="422"/>
      <c r="N6" s="422"/>
    </row>
    <row r="7" spans="1:14">
      <c r="A7" s="422"/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</row>
    <row r="8" spans="1:14" ht="72.75" customHeight="1">
      <c r="A8" s="452" t="s">
        <v>443</v>
      </c>
      <c r="B8" s="868" t="s">
        <v>444</v>
      </c>
      <c r="C8" s="869"/>
      <c r="D8" s="869"/>
      <c r="E8" s="422"/>
      <c r="F8" s="422"/>
      <c r="G8" s="422"/>
      <c r="H8" s="868" t="s">
        <v>682</v>
      </c>
      <c r="I8" s="870"/>
      <c r="J8" s="870"/>
      <c r="K8" s="422"/>
      <c r="L8" s="424"/>
      <c r="M8" s="422"/>
      <c r="N8" s="422"/>
    </row>
    <row r="9" spans="1:14">
      <c r="A9" s="422"/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</row>
    <row r="10" spans="1:14" ht="26.25" customHeight="1">
      <c r="A10" s="447" t="s">
        <v>445</v>
      </c>
      <c r="B10" s="421">
        <v>36</v>
      </c>
      <c r="C10" s="871" t="s">
        <v>446</v>
      </c>
      <c r="D10" s="858"/>
      <c r="E10" s="421">
        <v>25</v>
      </c>
      <c r="F10" s="845" t="s">
        <v>447</v>
      </c>
      <c r="G10" s="845"/>
      <c r="H10" s="421">
        <v>89</v>
      </c>
      <c r="I10" s="845" t="s">
        <v>94</v>
      </c>
      <c r="J10" s="845"/>
      <c r="K10" s="421">
        <v>16</v>
      </c>
      <c r="L10" s="858" t="s">
        <v>448</v>
      </c>
      <c r="M10" s="858"/>
      <c r="N10" s="421">
        <f>[7]Sheet1!L354+[7]Sheet1!L317+[7]Sheet1!L280+[7]Sheet1!L240+[7]Sheet1!L202+[7]Sheet1!L165+[7]Sheet1!L129+[7]Sheet1!L90+[7]Sheet1!L52+[7]Sheet1!L16</f>
        <v>42</v>
      </c>
    </row>
    <row r="12" spans="1:14" ht="26.25" customHeight="1">
      <c r="A12" s="453" t="s">
        <v>39</v>
      </c>
      <c r="B12" s="454" t="s">
        <v>449</v>
      </c>
      <c r="C12" s="127">
        <v>1019</v>
      </c>
      <c r="D12" s="454" t="s">
        <v>450</v>
      </c>
      <c r="E12" s="128">
        <v>50</v>
      </c>
      <c r="F12" s="454" t="s">
        <v>451</v>
      </c>
      <c r="G12" s="128">
        <v>30</v>
      </c>
      <c r="H12" s="455" t="s">
        <v>452</v>
      </c>
      <c r="I12" s="128">
        <f>G12+E12+C12</f>
        <v>1099</v>
      </c>
      <c r="J12" s="455" t="s">
        <v>79</v>
      </c>
      <c r="K12" s="127">
        <v>140</v>
      </c>
      <c r="L12" s="859" t="s">
        <v>453</v>
      </c>
      <c r="M12" s="860"/>
      <c r="N12" s="127">
        <v>64</v>
      </c>
    </row>
    <row r="13" spans="1:14" ht="26.25" customHeight="1">
      <c r="A13" s="453" t="s">
        <v>132</v>
      </c>
      <c r="B13" s="454" t="s">
        <v>454</v>
      </c>
      <c r="C13" s="127">
        <v>2191</v>
      </c>
      <c r="D13" s="454" t="s">
        <v>455</v>
      </c>
      <c r="E13" s="127">
        <v>105</v>
      </c>
      <c r="F13" s="454" t="s">
        <v>456</v>
      </c>
      <c r="G13" s="127">
        <v>60</v>
      </c>
      <c r="H13" s="456" t="s">
        <v>457</v>
      </c>
      <c r="I13" s="127">
        <f>G13+E13+C13</f>
        <v>2356</v>
      </c>
      <c r="K13" s="28"/>
      <c r="L13" s="28"/>
      <c r="M13" s="28"/>
      <c r="N13" s="28"/>
    </row>
    <row r="14" spans="1:14" ht="26.25" customHeight="1">
      <c r="A14" s="28"/>
      <c r="B14" s="454" t="s">
        <v>458</v>
      </c>
      <c r="C14" s="127">
        <v>2223</v>
      </c>
      <c r="D14" s="454" t="s">
        <v>50</v>
      </c>
      <c r="E14" s="127">
        <v>101</v>
      </c>
      <c r="F14" s="457" t="s">
        <v>162</v>
      </c>
      <c r="G14" s="127">
        <v>59</v>
      </c>
      <c r="H14" s="456" t="s">
        <v>459</v>
      </c>
      <c r="I14" s="127">
        <f>G14+E14+C14</f>
        <v>2383</v>
      </c>
      <c r="K14" s="28"/>
      <c r="L14" s="28"/>
      <c r="M14" s="28"/>
      <c r="N14" s="28"/>
    </row>
    <row r="16" spans="1:14" ht="26.25" customHeight="1">
      <c r="A16" s="129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26.25" customHeight="1">
      <c r="A17" s="861" t="s">
        <v>460</v>
      </c>
      <c r="B17" s="863" t="s">
        <v>74</v>
      </c>
      <c r="C17" s="863" t="s">
        <v>55</v>
      </c>
      <c r="D17" s="863" t="s">
        <v>461</v>
      </c>
      <c r="E17" s="863" t="s">
        <v>164</v>
      </c>
      <c r="F17" s="865" t="s">
        <v>462</v>
      </c>
      <c r="G17" s="866"/>
      <c r="H17" s="866"/>
      <c r="I17" s="866"/>
      <c r="J17" s="866"/>
      <c r="K17" s="866"/>
      <c r="L17" s="866"/>
      <c r="M17" s="866"/>
      <c r="N17" s="867"/>
    </row>
    <row r="18" spans="1:14" ht="26.25" customHeight="1">
      <c r="A18" s="862"/>
      <c r="B18" s="864"/>
      <c r="C18" s="864"/>
      <c r="D18" s="864"/>
      <c r="E18" s="864"/>
      <c r="F18" s="439" t="s">
        <v>395</v>
      </c>
      <c r="G18" s="439" t="s">
        <v>394</v>
      </c>
      <c r="H18" s="439" t="s">
        <v>393</v>
      </c>
      <c r="I18" s="439" t="s">
        <v>392</v>
      </c>
      <c r="J18" s="439" t="s">
        <v>391</v>
      </c>
      <c r="K18" s="439" t="s">
        <v>390</v>
      </c>
      <c r="L18" s="439" t="s">
        <v>389</v>
      </c>
      <c r="M18" s="440" t="s">
        <v>64</v>
      </c>
      <c r="N18" s="440" t="s">
        <v>388</v>
      </c>
    </row>
    <row r="19" spans="1:14" ht="26.25" customHeight="1">
      <c r="A19" s="458" t="s">
        <v>370</v>
      </c>
      <c r="B19" s="130">
        <v>500</v>
      </c>
      <c r="C19" s="130" t="s">
        <v>139</v>
      </c>
      <c r="D19" s="459">
        <f>B19*I4/100000</f>
        <v>25.175000000000001</v>
      </c>
      <c r="E19" s="459">
        <v>9.83</v>
      </c>
      <c r="F19" s="460">
        <v>0</v>
      </c>
      <c r="G19" s="460">
        <v>4.3363100000000001</v>
      </c>
      <c r="H19" s="460">
        <v>1.6627799999999999</v>
      </c>
      <c r="I19" s="460"/>
      <c r="J19" s="460"/>
      <c r="K19" s="460"/>
      <c r="L19" s="460"/>
      <c r="M19" s="460">
        <f>L19+K19+J19+I19+H19+G19+F19</f>
        <v>5.9990899999999998</v>
      </c>
      <c r="N19" s="460">
        <f>(M19*100)/E19</f>
        <v>61.028382502543231</v>
      </c>
    </row>
    <row r="20" spans="1:14" ht="26.25" customHeight="1">
      <c r="A20" s="458" t="s">
        <v>463</v>
      </c>
      <c r="B20" s="127">
        <v>360</v>
      </c>
      <c r="C20" s="130" t="s">
        <v>139</v>
      </c>
      <c r="D20" s="459">
        <f>B20*I4/100000</f>
        <v>18.126000000000001</v>
      </c>
      <c r="E20" s="460">
        <v>2.83325</v>
      </c>
      <c r="F20" s="460">
        <v>0</v>
      </c>
      <c r="G20" s="460">
        <v>0</v>
      </c>
      <c r="H20" s="460">
        <v>0.50851999999999997</v>
      </c>
      <c r="I20" s="460"/>
      <c r="J20" s="460"/>
      <c r="K20" s="460"/>
      <c r="L20" s="460"/>
      <c r="M20" s="460">
        <f t="shared" ref="M20:M26" si="0">L20+K20+J20+I20+H20+G20+F20</f>
        <v>0.50851999999999997</v>
      </c>
      <c r="N20" s="460">
        <f t="shared" ref="N20:N27" si="1">(M20*100)/E20</f>
        <v>17.948292596841082</v>
      </c>
    </row>
    <row r="21" spans="1:14" ht="26.25" customHeight="1">
      <c r="A21" s="458" t="s">
        <v>464</v>
      </c>
      <c r="B21" s="127">
        <v>8.4</v>
      </c>
      <c r="C21" s="130" t="s">
        <v>242</v>
      </c>
      <c r="D21" s="460">
        <f>B21*7</f>
        <v>58.800000000000004</v>
      </c>
      <c r="E21" s="460">
        <v>7.4829999999999997</v>
      </c>
      <c r="F21" s="460">
        <v>0.2</v>
      </c>
      <c r="G21" s="460">
        <v>3.5830000000000002</v>
      </c>
      <c r="H21" s="460">
        <v>1.8</v>
      </c>
      <c r="I21" s="460"/>
      <c r="J21" s="460"/>
      <c r="K21" s="460"/>
      <c r="L21" s="460"/>
      <c r="M21" s="460">
        <f t="shared" si="0"/>
        <v>5.5830000000000002</v>
      </c>
      <c r="N21" s="460">
        <f t="shared" si="1"/>
        <v>74.609113991714565</v>
      </c>
    </row>
    <row r="22" spans="1:14" ht="26.25" customHeight="1">
      <c r="A22" s="458" t="s">
        <v>465</v>
      </c>
      <c r="B22" s="127">
        <v>0.84</v>
      </c>
      <c r="C22" s="130" t="s">
        <v>242</v>
      </c>
      <c r="D22" s="460">
        <f>B22*7</f>
        <v>5.88</v>
      </c>
      <c r="E22" s="460">
        <v>1.87</v>
      </c>
      <c r="F22" s="460">
        <v>7.4999999999999997E-2</v>
      </c>
      <c r="G22" s="460">
        <v>0.89500000000000002</v>
      </c>
      <c r="H22" s="460">
        <v>0.45</v>
      </c>
      <c r="I22" s="460"/>
      <c r="J22" s="460"/>
      <c r="K22" s="460"/>
      <c r="L22" s="460"/>
      <c r="M22" s="460">
        <f t="shared" si="0"/>
        <v>1.42</v>
      </c>
      <c r="N22" s="460">
        <f t="shared" si="1"/>
        <v>75.935828877005349</v>
      </c>
    </row>
    <row r="23" spans="1:14" ht="26.25" customHeight="1">
      <c r="A23" s="458" t="s">
        <v>466</v>
      </c>
      <c r="B23" s="127">
        <v>3.6</v>
      </c>
      <c r="C23" s="130" t="s">
        <v>242</v>
      </c>
      <c r="D23" s="460">
        <f>B23*7</f>
        <v>25.2</v>
      </c>
      <c r="E23" s="460">
        <v>5</v>
      </c>
      <c r="F23" s="460">
        <v>0.2</v>
      </c>
      <c r="G23" s="460">
        <v>2.4</v>
      </c>
      <c r="H23" s="460">
        <v>1.1200000000000001</v>
      </c>
      <c r="I23" s="460"/>
      <c r="J23" s="460"/>
      <c r="K23" s="460"/>
      <c r="L23" s="460"/>
      <c r="M23" s="460">
        <f t="shared" si="0"/>
        <v>3.72</v>
      </c>
      <c r="N23" s="460">
        <f t="shared" si="1"/>
        <v>74.400000000000006</v>
      </c>
    </row>
    <row r="24" spans="1:14" ht="26.25" customHeight="1">
      <c r="A24" s="458" t="s">
        <v>305</v>
      </c>
      <c r="B24" s="127">
        <v>0.24</v>
      </c>
      <c r="C24" s="130" t="s">
        <v>242</v>
      </c>
      <c r="D24" s="460">
        <f>B24*7</f>
        <v>1.68</v>
      </c>
      <c r="E24" s="460">
        <v>0.5</v>
      </c>
      <c r="F24" s="460">
        <v>0.04</v>
      </c>
      <c r="G24" s="460">
        <v>0.24</v>
      </c>
      <c r="H24" s="460">
        <v>0.12</v>
      </c>
      <c r="I24" s="460"/>
      <c r="J24" s="460"/>
      <c r="K24" s="460"/>
      <c r="L24" s="460"/>
      <c r="M24" s="460">
        <f t="shared" si="0"/>
        <v>0.39999999999999997</v>
      </c>
      <c r="N24" s="460">
        <f t="shared" si="1"/>
        <v>80</v>
      </c>
    </row>
    <row r="25" spans="1:14" ht="26.25" customHeight="1">
      <c r="A25" s="458" t="s">
        <v>434</v>
      </c>
      <c r="B25" s="127">
        <v>0.24</v>
      </c>
      <c r="C25" s="130" t="s">
        <v>242</v>
      </c>
      <c r="D25" s="460">
        <f>B25*7</f>
        <v>1.68</v>
      </c>
      <c r="E25" s="460">
        <v>0.75</v>
      </c>
      <c r="F25" s="460">
        <v>4.4999999999999998E-2</v>
      </c>
      <c r="G25" s="460">
        <v>0.36</v>
      </c>
      <c r="H25" s="460">
        <v>0.18</v>
      </c>
      <c r="I25" s="460"/>
      <c r="J25" s="460"/>
      <c r="K25" s="460"/>
      <c r="L25" s="460"/>
      <c r="M25" s="460">
        <f t="shared" si="0"/>
        <v>0.58500000000000008</v>
      </c>
      <c r="N25" s="460">
        <f t="shared" si="1"/>
        <v>78.000000000000014</v>
      </c>
    </row>
    <row r="26" spans="1:14" ht="26.25" customHeight="1">
      <c r="A26" s="461" t="s">
        <v>467</v>
      </c>
      <c r="B26" s="127">
        <v>0.2</v>
      </c>
      <c r="C26" s="130" t="s">
        <v>68</v>
      </c>
      <c r="D26" s="460">
        <v>0.2</v>
      </c>
      <c r="E26" s="460">
        <v>0.2</v>
      </c>
      <c r="F26" s="460">
        <v>0</v>
      </c>
      <c r="G26" s="460">
        <v>0.2</v>
      </c>
      <c r="H26" s="460">
        <v>0</v>
      </c>
      <c r="I26" s="460"/>
      <c r="J26" s="460"/>
      <c r="K26" s="460"/>
      <c r="L26" s="460"/>
      <c r="M26" s="460">
        <f t="shared" si="0"/>
        <v>0.2</v>
      </c>
      <c r="N26" s="460">
        <f t="shared" si="1"/>
        <v>100</v>
      </c>
    </row>
    <row r="27" spans="1:14" ht="26.25" customHeight="1">
      <c r="A27" s="461" t="s">
        <v>69</v>
      </c>
      <c r="B27" s="127"/>
      <c r="C27" s="127"/>
      <c r="D27" s="460">
        <f>SUM(D19:D26)</f>
        <v>136.74099999999999</v>
      </c>
      <c r="E27" s="460">
        <f>SUM(E19:E26)</f>
        <v>28.466249999999999</v>
      </c>
      <c r="F27" s="460">
        <f>SUM(F19:F26)</f>
        <v>0.56000000000000005</v>
      </c>
      <c r="G27" s="460">
        <f>SUM(G19:G26)</f>
        <v>12.01431</v>
      </c>
      <c r="H27" s="460"/>
      <c r="I27" s="460"/>
      <c r="J27" s="460"/>
      <c r="K27" s="460"/>
      <c r="L27" s="460"/>
      <c r="M27" s="460">
        <f>SUM(M19:M26)</f>
        <v>18.415609999999997</v>
      </c>
      <c r="N27" s="460">
        <f t="shared" si="1"/>
        <v>64.692785315944306</v>
      </c>
    </row>
  </sheetData>
  <mergeCells count="23">
    <mergeCell ref="A1:N1"/>
    <mergeCell ref="A2:N2"/>
    <mergeCell ref="A3:C3"/>
    <mergeCell ref="B4:C4"/>
    <mergeCell ref="D4:E4"/>
    <mergeCell ref="G4:H4"/>
    <mergeCell ref="J4:L4"/>
    <mergeCell ref="M4:N4"/>
    <mergeCell ref="B6:D6"/>
    <mergeCell ref="H6:J6"/>
    <mergeCell ref="B8:D8"/>
    <mergeCell ref="H8:J8"/>
    <mergeCell ref="C10:D10"/>
    <mergeCell ref="F10:G10"/>
    <mergeCell ref="I10:J10"/>
    <mergeCell ref="L10:M10"/>
    <mergeCell ref="L12:M12"/>
    <mergeCell ref="A17:A18"/>
    <mergeCell ref="B17:B18"/>
    <mergeCell ref="C17:C18"/>
    <mergeCell ref="D17:D18"/>
    <mergeCell ref="E17:E18"/>
    <mergeCell ref="F17:N17"/>
  </mergeCells>
  <hyperlinks>
    <hyperlink ref="A3" location="'Fact Sheet of VDC'!A1" display="&lt;&lt;Back"/>
  </hyperlinks>
  <printOptions horizontalCentered="1" verticalCentered="1"/>
  <pageMargins left="0.55118110236220474" right="0.27559055118110237" top="0.35433070866141736" bottom="0.35433070866141736" header="0.31496062992125984" footer="0.31496062992125984"/>
  <pageSetup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workbookViewId="0">
      <selection activeCell="A3" sqref="A3:C3"/>
    </sheetView>
  </sheetViews>
  <sheetFormatPr defaultRowHeight="12.75"/>
  <cols>
    <col min="1" max="1" width="24.5703125" style="34" customWidth="1"/>
    <col min="2" max="2" width="9" style="36" customWidth="1"/>
    <col min="3" max="3" width="7.42578125" style="36" customWidth="1"/>
    <col min="4" max="4" width="8.85546875" style="36" customWidth="1"/>
    <col min="5" max="5" width="7.5703125" style="36" customWidth="1"/>
    <col min="6" max="6" width="12.140625" style="36" customWidth="1"/>
    <col min="7" max="7" width="10" style="36" customWidth="1"/>
    <col min="8" max="8" width="11.140625" style="36" customWidth="1"/>
    <col min="9" max="9" width="9.5703125" style="36" customWidth="1"/>
    <col min="10" max="10" width="9.140625" style="36"/>
    <col min="11" max="11" width="8.140625" style="36" customWidth="1"/>
    <col min="12" max="12" width="9.7109375" style="36" customWidth="1"/>
    <col min="13" max="13" width="8.7109375" style="36" customWidth="1"/>
    <col min="14" max="14" width="7.140625" style="36" customWidth="1"/>
    <col min="15" max="256" width="9.140625" style="34"/>
    <col min="257" max="257" width="24.5703125" style="34" customWidth="1"/>
    <col min="258" max="258" width="9" style="34" customWidth="1"/>
    <col min="259" max="259" width="7.42578125" style="34" customWidth="1"/>
    <col min="260" max="260" width="8.85546875" style="34" customWidth="1"/>
    <col min="261" max="261" width="7.5703125" style="34" customWidth="1"/>
    <col min="262" max="262" width="12.140625" style="34" customWidth="1"/>
    <col min="263" max="263" width="10" style="34" customWidth="1"/>
    <col min="264" max="264" width="11.140625" style="34" customWidth="1"/>
    <col min="265" max="265" width="9.5703125" style="34" customWidth="1"/>
    <col min="266" max="266" width="9.140625" style="34"/>
    <col min="267" max="267" width="8.140625" style="34" customWidth="1"/>
    <col min="268" max="268" width="9.7109375" style="34" customWidth="1"/>
    <col min="269" max="269" width="8.7109375" style="34" customWidth="1"/>
    <col min="270" max="270" width="7.140625" style="34" customWidth="1"/>
    <col min="271" max="512" width="9.140625" style="34"/>
    <col min="513" max="513" width="24.5703125" style="34" customWidth="1"/>
    <col min="514" max="514" width="9" style="34" customWidth="1"/>
    <col min="515" max="515" width="7.42578125" style="34" customWidth="1"/>
    <col min="516" max="516" width="8.85546875" style="34" customWidth="1"/>
    <col min="517" max="517" width="7.5703125" style="34" customWidth="1"/>
    <col min="518" max="518" width="12.140625" style="34" customWidth="1"/>
    <col min="519" max="519" width="10" style="34" customWidth="1"/>
    <col min="520" max="520" width="11.140625" style="34" customWidth="1"/>
    <col min="521" max="521" width="9.5703125" style="34" customWidth="1"/>
    <col min="522" max="522" width="9.140625" style="34"/>
    <col min="523" max="523" width="8.140625" style="34" customWidth="1"/>
    <col min="524" max="524" width="9.7109375" style="34" customWidth="1"/>
    <col min="525" max="525" width="8.7109375" style="34" customWidth="1"/>
    <col min="526" max="526" width="7.140625" style="34" customWidth="1"/>
    <col min="527" max="768" width="9.140625" style="34"/>
    <col min="769" max="769" width="24.5703125" style="34" customWidth="1"/>
    <col min="770" max="770" width="9" style="34" customWidth="1"/>
    <col min="771" max="771" width="7.42578125" style="34" customWidth="1"/>
    <col min="772" max="772" width="8.85546875" style="34" customWidth="1"/>
    <col min="773" max="773" width="7.5703125" style="34" customWidth="1"/>
    <col min="774" max="774" width="12.140625" style="34" customWidth="1"/>
    <col min="775" max="775" width="10" style="34" customWidth="1"/>
    <col min="776" max="776" width="11.140625" style="34" customWidth="1"/>
    <col min="777" max="777" width="9.5703125" style="34" customWidth="1"/>
    <col min="778" max="778" width="9.140625" style="34"/>
    <col min="779" max="779" width="8.140625" style="34" customWidth="1"/>
    <col min="780" max="780" width="9.7109375" style="34" customWidth="1"/>
    <col min="781" max="781" width="8.7109375" style="34" customWidth="1"/>
    <col min="782" max="782" width="7.140625" style="34" customWidth="1"/>
    <col min="783" max="1024" width="9.140625" style="34"/>
    <col min="1025" max="1025" width="24.5703125" style="34" customWidth="1"/>
    <col min="1026" max="1026" width="9" style="34" customWidth="1"/>
    <col min="1027" max="1027" width="7.42578125" style="34" customWidth="1"/>
    <col min="1028" max="1028" width="8.85546875" style="34" customWidth="1"/>
    <col min="1029" max="1029" width="7.5703125" style="34" customWidth="1"/>
    <col min="1030" max="1030" width="12.140625" style="34" customWidth="1"/>
    <col min="1031" max="1031" width="10" style="34" customWidth="1"/>
    <col min="1032" max="1032" width="11.140625" style="34" customWidth="1"/>
    <col min="1033" max="1033" width="9.5703125" style="34" customWidth="1"/>
    <col min="1034" max="1034" width="9.140625" style="34"/>
    <col min="1035" max="1035" width="8.140625" style="34" customWidth="1"/>
    <col min="1036" max="1036" width="9.7109375" style="34" customWidth="1"/>
    <col min="1037" max="1037" width="8.7109375" style="34" customWidth="1"/>
    <col min="1038" max="1038" width="7.140625" style="34" customWidth="1"/>
    <col min="1039" max="1280" width="9.140625" style="34"/>
    <col min="1281" max="1281" width="24.5703125" style="34" customWidth="1"/>
    <col min="1282" max="1282" width="9" style="34" customWidth="1"/>
    <col min="1283" max="1283" width="7.42578125" style="34" customWidth="1"/>
    <col min="1284" max="1284" width="8.85546875" style="34" customWidth="1"/>
    <col min="1285" max="1285" width="7.5703125" style="34" customWidth="1"/>
    <col min="1286" max="1286" width="12.140625" style="34" customWidth="1"/>
    <col min="1287" max="1287" width="10" style="34" customWidth="1"/>
    <col min="1288" max="1288" width="11.140625" style="34" customWidth="1"/>
    <col min="1289" max="1289" width="9.5703125" style="34" customWidth="1"/>
    <col min="1290" max="1290" width="9.140625" style="34"/>
    <col min="1291" max="1291" width="8.140625" style="34" customWidth="1"/>
    <col min="1292" max="1292" width="9.7109375" style="34" customWidth="1"/>
    <col min="1293" max="1293" width="8.7109375" style="34" customWidth="1"/>
    <col min="1294" max="1294" width="7.140625" style="34" customWidth="1"/>
    <col min="1295" max="1536" width="9.140625" style="34"/>
    <col min="1537" max="1537" width="24.5703125" style="34" customWidth="1"/>
    <col min="1538" max="1538" width="9" style="34" customWidth="1"/>
    <col min="1539" max="1539" width="7.42578125" style="34" customWidth="1"/>
    <col min="1540" max="1540" width="8.85546875" style="34" customWidth="1"/>
    <col min="1541" max="1541" width="7.5703125" style="34" customWidth="1"/>
    <col min="1542" max="1542" width="12.140625" style="34" customWidth="1"/>
    <col min="1543" max="1543" width="10" style="34" customWidth="1"/>
    <col min="1544" max="1544" width="11.140625" style="34" customWidth="1"/>
    <col min="1545" max="1545" width="9.5703125" style="34" customWidth="1"/>
    <col min="1546" max="1546" width="9.140625" style="34"/>
    <col min="1547" max="1547" width="8.140625" style="34" customWidth="1"/>
    <col min="1548" max="1548" width="9.7109375" style="34" customWidth="1"/>
    <col min="1549" max="1549" width="8.7109375" style="34" customWidth="1"/>
    <col min="1550" max="1550" width="7.140625" style="34" customWidth="1"/>
    <col min="1551" max="1792" width="9.140625" style="34"/>
    <col min="1793" max="1793" width="24.5703125" style="34" customWidth="1"/>
    <col min="1794" max="1794" width="9" style="34" customWidth="1"/>
    <col min="1795" max="1795" width="7.42578125" style="34" customWidth="1"/>
    <col min="1796" max="1796" width="8.85546875" style="34" customWidth="1"/>
    <col min="1797" max="1797" width="7.5703125" style="34" customWidth="1"/>
    <col min="1798" max="1798" width="12.140625" style="34" customWidth="1"/>
    <col min="1799" max="1799" width="10" style="34" customWidth="1"/>
    <col min="1800" max="1800" width="11.140625" style="34" customWidth="1"/>
    <col min="1801" max="1801" width="9.5703125" style="34" customWidth="1"/>
    <col min="1802" max="1802" width="9.140625" style="34"/>
    <col min="1803" max="1803" width="8.140625" style="34" customWidth="1"/>
    <col min="1804" max="1804" width="9.7109375" style="34" customWidth="1"/>
    <col min="1805" max="1805" width="8.7109375" style="34" customWidth="1"/>
    <col min="1806" max="1806" width="7.140625" style="34" customWidth="1"/>
    <col min="1807" max="2048" width="9.140625" style="34"/>
    <col min="2049" max="2049" width="24.5703125" style="34" customWidth="1"/>
    <col min="2050" max="2050" width="9" style="34" customWidth="1"/>
    <col min="2051" max="2051" width="7.42578125" style="34" customWidth="1"/>
    <col min="2052" max="2052" width="8.85546875" style="34" customWidth="1"/>
    <col min="2053" max="2053" width="7.5703125" style="34" customWidth="1"/>
    <col min="2054" max="2054" width="12.140625" style="34" customWidth="1"/>
    <col min="2055" max="2055" width="10" style="34" customWidth="1"/>
    <col min="2056" max="2056" width="11.140625" style="34" customWidth="1"/>
    <col min="2057" max="2057" width="9.5703125" style="34" customWidth="1"/>
    <col min="2058" max="2058" width="9.140625" style="34"/>
    <col min="2059" max="2059" width="8.140625" style="34" customWidth="1"/>
    <col min="2060" max="2060" width="9.7109375" style="34" customWidth="1"/>
    <col min="2061" max="2061" width="8.7109375" style="34" customWidth="1"/>
    <col min="2062" max="2062" width="7.140625" style="34" customWidth="1"/>
    <col min="2063" max="2304" width="9.140625" style="34"/>
    <col min="2305" max="2305" width="24.5703125" style="34" customWidth="1"/>
    <col min="2306" max="2306" width="9" style="34" customWidth="1"/>
    <col min="2307" max="2307" width="7.42578125" style="34" customWidth="1"/>
    <col min="2308" max="2308" width="8.85546875" style="34" customWidth="1"/>
    <col min="2309" max="2309" width="7.5703125" style="34" customWidth="1"/>
    <col min="2310" max="2310" width="12.140625" style="34" customWidth="1"/>
    <col min="2311" max="2311" width="10" style="34" customWidth="1"/>
    <col min="2312" max="2312" width="11.140625" style="34" customWidth="1"/>
    <col min="2313" max="2313" width="9.5703125" style="34" customWidth="1"/>
    <col min="2314" max="2314" width="9.140625" style="34"/>
    <col min="2315" max="2315" width="8.140625" style="34" customWidth="1"/>
    <col min="2316" max="2316" width="9.7109375" style="34" customWidth="1"/>
    <col min="2317" max="2317" width="8.7109375" style="34" customWidth="1"/>
    <col min="2318" max="2318" width="7.140625" style="34" customWidth="1"/>
    <col min="2319" max="2560" width="9.140625" style="34"/>
    <col min="2561" max="2561" width="24.5703125" style="34" customWidth="1"/>
    <col min="2562" max="2562" width="9" style="34" customWidth="1"/>
    <col min="2563" max="2563" width="7.42578125" style="34" customWidth="1"/>
    <col min="2564" max="2564" width="8.85546875" style="34" customWidth="1"/>
    <col min="2565" max="2565" width="7.5703125" style="34" customWidth="1"/>
    <col min="2566" max="2566" width="12.140625" style="34" customWidth="1"/>
    <col min="2567" max="2567" width="10" style="34" customWidth="1"/>
    <col min="2568" max="2568" width="11.140625" style="34" customWidth="1"/>
    <col min="2569" max="2569" width="9.5703125" style="34" customWidth="1"/>
    <col min="2570" max="2570" width="9.140625" style="34"/>
    <col min="2571" max="2571" width="8.140625" style="34" customWidth="1"/>
    <col min="2572" max="2572" width="9.7109375" style="34" customWidth="1"/>
    <col min="2573" max="2573" width="8.7109375" style="34" customWidth="1"/>
    <col min="2574" max="2574" width="7.140625" style="34" customWidth="1"/>
    <col min="2575" max="2816" width="9.140625" style="34"/>
    <col min="2817" max="2817" width="24.5703125" style="34" customWidth="1"/>
    <col min="2818" max="2818" width="9" style="34" customWidth="1"/>
    <col min="2819" max="2819" width="7.42578125" style="34" customWidth="1"/>
    <col min="2820" max="2820" width="8.85546875" style="34" customWidth="1"/>
    <col min="2821" max="2821" width="7.5703125" style="34" customWidth="1"/>
    <col min="2822" max="2822" width="12.140625" style="34" customWidth="1"/>
    <col min="2823" max="2823" width="10" style="34" customWidth="1"/>
    <col min="2824" max="2824" width="11.140625" style="34" customWidth="1"/>
    <col min="2825" max="2825" width="9.5703125" style="34" customWidth="1"/>
    <col min="2826" max="2826" width="9.140625" style="34"/>
    <col min="2827" max="2827" width="8.140625" style="34" customWidth="1"/>
    <col min="2828" max="2828" width="9.7109375" style="34" customWidth="1"/>
    <col min="2829" max="2829" width="8.7109375" style="34" customWidth="1"/>
    <col min="2830" max="2830" width="7.140625" style="34" customWidth="1"/>
    <col min="2831" max="3072" width="9.140625" style="34"/>
    <col min="3073" max="3073" width="24.5703125" style="34" customWidth="1"/>
    <col min="3074" max="3074" width="9" style="34" customWidth="1"/>
    <col min="3075" max="3075" width="7.42578125" style="34" customWidth="1"/>
    <col min="3076" max="3076" width="8.85546875" style="34" customWidth="1"/>
    <col min="3077" max="3077" width="7.5703125" style="34" customWidth="1"/>
    <col min="3078" max="3078" width="12.140625" style="34" customWidth="1"/>
    <col min="3079" max="3079" width="10" style="34" customWidth="1"/>
    <col min="3080" max="3080" width="11.140625" style="34" customWidth="1"/>
    <col min="3081" max="3081" width="9.5703125" style="34" customWidth="1"/>
    <col min="3082" max="3082" width="9.140625" style="34"/>
    <col min="3083" max="3083" width="8.140625" style="34" customWidth="1"/>
    <col min="3084" max="3084" width="9.7109375" style="34" customWidth="1"/>
    <col min="3085" max="3085" width="8.7109375" style="34" customWidth="1"/>
    <col min="3086" max="3086" width="7.140625" style="34" customWidth="1"/>
    <col min="3087" max="3328" width="9.140625" style="34"/>
    <col min="3329" max="3329" width="24.5703125" style="34" customWidth="1"/>
    <col min="3330" max="3330" width="9" style="34" customWidth="1"/>
    <col min="3331" max="3331" width="7.42578125" style="34" customWidth="1"/>
    <col min="3332" max="3332" width="8.85546875" style="34" customWidth="1"/>
    <col min="3333" max="3333" width="7.5703125" style="34" customWidth="1"/>
    <col min="3334" max="3334" width="12.140625" style="34" customWidth="1"/>
    <col min="3335" max="3335" width="10" style="34" customWidth="1"/>
    <col min="3336" max="3336" width="11.140625" style="34" customWidth="1"/>
    <col min="3337" max="3337" width="9.5703125" style="34" customWidth="1"/>
    <col min="3338" max="3338" width="9.140625" style="34"/>
    <col min="3339" max="3339" width="8.140625" style="34" customWidth="1"/>
    <col min="3340" max="3340" width="9.7109375" style="34" customWidth="1"/>
    <col min="3341" max="3341" width="8.7109375" style="34" customWidth="1"/>
    <col min="3342" max="3342" width="7.140625" style="34" customWidth="1"/>
    <col min="3343" max="3584" width="9.140625" style="34"/>
    <col min="3585" max="3585" width="24.5703125" style="34" customWidth="1"/>
    <col min="3586" max="3586" width="9" style="34" customWidth="1"/>
    <col min="3587" max="3587" width="7.42578125" style="34" customWidth="1"/>
    <col min="3588" max="3588" width="8.85546875" style="34" customWidth="1"/>
    <col min="3589" max="3589" width="7.5703125" style="34" customWidth="1"/>
    <col min="3590" max="3590" width="12.140625" style="34" customWidth="1"/>
    <col min="3591" max="3591" width="10" style="34" customWidth="1"/>
    <col min="3592" max="3592" width="11.140625" style="34" customWidth="1"/>
    <col min="3593" max="3593" width="9.5703125" style="34" customWidth="1"/>
    <col min="3594" max="3594" width="9.140625" style="34"/>
    <col min="3595" max="3595" width="8.140625" style="34" customWidth="1"/>
    <col min="3596" max="3596" width="9.7109375" style="34" customWidth="1"/>
    <col min="3597" max="3597" width="8.7109375" style="34" customWidth="1"/>
    <col min="3598" max="3598" width="7.140625" style="34" customWidth="1"/>
    <col min="3599" max="3840" width="9.140625" style="34"/>
    <col min="3841" max="3841" width="24.5703125" style="34" customWidth="1"/>
    <col min="3842" max="3842" width="9" style="34" customWidth="1"/>
    <col min="3843" max="3843" width="7.42578125" style="34" customWidth="1"/>
    <col min="3844" max="3844" width="8.85546875" style="34" customWidth="1"/>
    <col min="3845" max="3845" width="7.5703125" style="34" customWidth="1"/>
    <col min="3846" max="3846" width="12.140625" style="34" customWidth="1"/>
    <col min="3847" max="3847" width="10" style="34" customWidth="1"/>
    <col min="3848" max="3848" width="11.140625" style="34" customWidth="1"/>
    <col min="3849" max="3849" width="9.5703125" style="34" customWidth="1"/>
    <col min="3850" max="3850" width="9.140625" style="34"/>
    <col min="3851" max="3851" width="8.140625" style="34" customWidth="1"/>
    <col min="3852" max="3852" width="9.7109375" style="34" customWidth="1"/>
    <col min="3853" max="3853" width="8.7109375" style="34" customWidth="1"/>
    <col min="3854" max="3854" width="7.140625" style="34" customWidth="1"/>
    <col min="3855" max="4096" width="9.140625" style="34"/>
    <col min="4097" max="4097" width="24.5703125" style="34" customWidth="1"/>
    <col min="4098" max="4098" width="9" style="34" customWidth="1"/>
    <col min="4099" max="4099" width="7.42578125" style="34" customWidth="1"/>
    <col min="4100" max="4100" width="8.85546875" style="34" customWidth="1"/>
    <col min="4101" max="4101" width="7.5703125" style="34" customWidth="1"/>
    <col min="4102" max="4102" width="12.140625" style="34" customWidth="1"/>
    <col min="4103" max="4103" width="10" style="34" customWidth="1"/>
    <col min="4104" max="4104" width="11.140625" style="34" customWidth="1"/>
    <col min="4105" max="4105" width="9.5703125" style="34" customWidth="1"/>
    <col min="4106" max="4106" width="9.140625" style="34"/>
    <col min="4107" max="4107" width="8.140625" style="34" customWidth="1"/>
    <col min="4108" max="4108" width="9.7109375" style="34" customWidth="1"/>
    <col min="4109" max="4109" width="8.7109375" style="34" customWidth="1"/>
    <col min="4110" max="4110" width="7.140625" style="34" customWidth="1"/>
    <col min="4111" max="4352" width="9.140625" style="34"/>
    <col min="4353" max="4353" width="24.5703125" style="34" customWidth="1"/>
    <col min="4354" max="4354" width="9" style="34" customWidth="1"/>
    <col min="4355" max="4355" width="7.42578125" style="34" customWidth="1"/>
    <col min="4356" max="4356" width="8.85546875" style="34" customWidth="1"/>
    <col min="4357" max="4357" width="7.5703125" style="34" customWidth="1"/>
    <col min="4358" max="4358" width="12.140625" style="34" customWidth="1"/>
    <col min="4359" max="4359" width="10" style="34" customWidth="1"/>
    <col min="4360" max="4360" width="11.140625" style="34" customWidth="1"/>
    <col min="4361" max="4361" width="9.5703125" style="34" customWidth="1"/>
    <col min="4362" max="4362" width="9.140625" style="34"/>
    <col min="4363" max="4363" width="8.140625" style="34" customWidth="1"/>
    <col min="4364" max="4364" width="9.7109375" style="34" customWidth="1"/>
    <col min="4365" max="4365" width="8.7109375" style="34" customWidth="1"/>
    <col min="4366" max="4366" width="7.140625" style="34" customWidth="1"/>
    <col min="4367" max="4608" width="9.140625" style="34"/>
    <col min="4609" max="4609" width="24.5703125" style="34" customWidth="1"/>
    <col min="4610" max="4610" width="9" style="34" customWidth="1"/>
    <col min="4611" max="4611" width="7.42578125" style="34" customWidth="1"/>
    <col min="4612" max="4612" width="8.85546875" style="34" customWidth="1"/>
    <col min="4613" max="4613" width="7.5703125" style="34" customWidth="1"/>
    <col min="4614" max="4614" width="12.140625" style="34" customWidth="1"/>
    <col min="4615" max="4615" width="10" style="34" customWidth="1"/>
    <col min="4616" max="4616" width="11.140625" style="34" customWidth="1"/>
    <col min="4617" max="4617" width="9.5703125" style="34" customWidth="1"/>
    <col min="4618" max="4618" width="9.140625" style="34"/>
    <col min="4619" max="4619" width="8.140625" style="34" customWidth="1"/>
    <col min="4620" max="4620" width="9.7109375" style="34" customWidth="1"/>
    <col min="4621" max="4621" width="8.7109375" style="34" customWidth="1"/>
    <col min="4622" max="4622" width="7.140625" style="34" customWidth="1"/>
    <col min="4623" max="4864" width="9.140625" style="34"/>
    <col min="4865" max="4865" width="24.5703125" style="34" customWidth="1"/>
    <col min="4866" max="4866" width="9" style="34" customWidth="1"/>
    <col min="4867" max="4867" width="7.42578125" style="34" customWidth="1"/>
    <col min="4868" max="4868" width="8.85546875" style="34" customWidth="1"/>
    <col min="4869" max="4869" width="7.5703125" style="34" customWidth="1"/>
    <col min="4870" max="4870" width="12.140625" style="34" customWidth="1"/>
    <col min="4871" max="4871" width="10" style="34" customWidth="1"/>
    <col min="4872" max="4872" width="11.140625" style="34" customWidth="1"/>
    <col min="4873" max="4873" width="9.5703125" style="34" customWidth="1"/>
    <col min="4874" max="4874" width="9.140625" style="34"/>
    <col min="4875" max="4875" width="8.140625" style="34" customWidth="1"/>
    <col min="4876" max="4876" width="9.7109375" style="34" customWidth="1"/>
    <col min="4877" max="4877" width="8.7109375" style="34" customWidth="1"/>
    <col min="4878" max="4878" width="7.140625" style="34" customWidth="1"/>
    <col min="4879" max="5120" width="9.140625" style="34"/>
    <col min="5121" max="5121" width="24.5703125" style="34" customWidth="1"/>
    <col min="5122" max="5122" width="9" style="34" customWidth="1"/>
    <col min="5123" max="5123" width="7.42578125" style="34" customWidth="1"/>
    <col min="5124" max="5124" width="8.85546875" style="34" customWidth="1"/>
    <col min="5125" max="5125" width="7.5703125" style="34" customWidth="1"/>
    <col min="5126" max="5126" width="12.140625" style="34" customWidth="1"/>
    <col min="5127" max="5127" width="10" style="34" customWidth="1"/>
    <col min="5128" max="5128" width="11.140625" style="34" customWidth="1"/>
    <col min="5129" max="5129" width="9.5703125" style="34" customWidth="1"/>
    <col min="5130" max="5130" width="9.140625" style="34"/>
    <col min="5131" max="5131" width="8.140625" style="34" customWidth="1"/>
    <col min="5132" max="5132" width="9.7109375" style="34" customWidth="1"/>
    <col min="5133" max="5133" width="8.7109375" style="34" customWidth="1"/>
    <col min="5134" max="5134" width="7.140625" style="34" customWidth="1"/>
    <col min="5135" max="5376" width="9.140625" style="34"/>
    <col min="5377" max="5377" width="24.5703125" style="34" customWidth="1"/>
    <col min="5378" max="5378" width="9" style="34" customWidth="1"/>
    <col min="5379" max="5379" width="7.42578125" style="34" customWidth="1"/>
    <col min="5380" max="5380" width="8.85546875" style="34" customWidth="1"/>
    <col min="5381" max="5381" width="7.5703125" style="34" customWidth="1"/>
    <col min="5382" max="5382" width="12.140625" style="34" customWidth="1"/>
    <col min="5383" max="5383" width="10" style="34" customWidth="1"/>
    <col min="5384" max="5384" width="11.140625" style="34" customWidth="1"/>
    <col min="5385" max="5385" width="9.5703125" style="34" customWidth="1"/>
    <col min="5386" max="5386" width="9.140625" style="34"/>
    <col min="5387" max="5387" width="8.140625" style="34" customWidth="1"/>
    <col min="5388" max="5388" width="9.7109375" style="34" customWidth="1"/>
    <col min="5389" max="5389" width="8.7109375" style="34" customWidth="1"/>
    <col min="5390" max="5390" width="7.140625" style="34" customWidth="1"/>
    <col min="5391" max="5632" width="9.140625" style="34"/>
    <col min="5633" max="5633" width="24.5703125" style="34" customWidth="1"/>
    <col min="5634" max="5634" width="9" style="34" customWidth="1"/>
    <col min="5635" max="5635" width="7.42578125" style="34" customWidth="1"/>
    <col min="5636" max="5636" width="8.85546875" style="34" customWidth="1"/>
    <col min="5637" max="5637" width="7.5703125" style="34" customWidth="1"/>
    <col min="5638" max="5638" width="12.140625" style="34" customWidth="1"/>
    <col min="5639" max="5639" width="10" style="34" customWidth="1"/>
    <col min="5640" max="5640" width="11.140625" style="34" customWidth="1"/>
    <col min="5641" max="5641" width="9.5703125" style="34" customWidth="1"/>
    <col min="5642" max="5642" width="9.140625" style="34"/>
    <col min="5643" max="5643" width="8.140625" style="34" customWidth="1"/>
    <col min="5644" max="5644" width="9.7109375" style="34" customWidth="1"/>
    <col min="5645" max="5645" width="8.7109375" style="34" customWidth="1"/>
    <col min="5646" max="5646" width="7.140625" style="34" customWidth="1"/>
    <col min="5647" max="5888" width="9.140625" style="34"/>
    <col min="5889" max="5889" width="24.5703125" style="34" customWidth="1"/>
    <col min="5890" max="5890" width="9" style="34" customWidth="1"/>
    <col min="5891" max="5891" width="7.42578125" style="34" customWidth="1"/>
    <col min="5892" max="5892" width="8.85546875" style="34" customWidth="1"/>
    <col min="5893" max="5893" width="7.5703125" style="34" customWidth="1"/>
    <col min="5894" max="5894" width="12.140625" style="34" customWidth="1"/>
    <col min="5895" max="5895" width="10" style="34" customWidth="1"/>
    <col min="5896" max="5896" width="11.140625" style="34" customWidth="1"/>
    <col min="5897" max="5897" width="9.5703125" style="34" customWidth="1"/>
    <col min="5898" max="5898" width="9.140625" style="34"/>
    <col min="5899" max="5899" width="8.140625" style="34" customWidth="1"/>
    <col min="5900" max="5900" width="9.7109375" style="34" customWidth="1"/>
    <col min="5901" max="5901" width="8.7109375" style="34" customWidth="1"/>
    <col min="5902" max="5902" width="7.140625" style="34" customWidth="1"/>
    <col min="5903" max="6144" width="9.140625" style="34"/>
    <col min="6145" max="6145" width="24.5703125" style="34" customWidth="1"/>
    <col min="6146" max="6146" width="9" style="34" customWidth="1"/>
    <col min="6147" max="6147" width="7.42578125" style="34" customWidth="1"/>
    <col min="6148" max="6148" width="8.85546875" style="34" customWidth="1"/>
    <col min="6149" max="6149" width="7.5703125" style="34" customWidth="1"/>
    <col min="6150" max="6150" width="12.140625" style="34" customWidth="1"/>
    <col min="6151" max="6151" width="10" style="34" customWidth="1"/>
    <col min="6152" max="6152" width="11.140625" style="34" customWidth="1"/>
    <col min="6153" max="6153" width="9.5703125" style="34" customWidth="1"/>
    <col min="6154" max="6154" width="9.140625" style="34"/>
    <col min="6155" max="6155" width="8.140625" style="34" customWidth="1"/>
    <col min="6156" max="6156" width="9.7109375" style="34" customWidth="1"/>
    <col min="6157" max="6157" width="8.7109375" style="34" customWidth="1"/>
    <col min="6158" max="6158" width="7.140625" style="34" customWidth="1"/>
    <col min="6159" max="6400" width="9.140625" style="34"/>
    <col min="6401" max="6401" width="24.5703125" style="34" customWidth="1"/>
    <col min="6402" max="6402" width="9" style="34" customWidth="1"/>
    <col min="6403" max="6403" width="7.42578125" style="34" customWidth="1"/>
    <col min="6404" max="6404" width="8.85546875" style="34" customWidth="1"/>
    <col min="6405" max="6405" width="7.5703125" style="34" customWidth="1"/>
    <col min="6406" max="6406" width="12.140625" style="34" customWidth="1"/>
    <col min="6407" max="6407" width="10" style="34" customWidth="1"/>
    <col min="6408" max="6408" width="11.140625" style="34" customWidth="1"/>
    <col min="6409" max="6409" width="9.5703125" style="34" customWidth="1"/>
    <col min="6410" max="6410" width="9.140625" style="34"/>
    <col min="6411" max="6411" width="8.140625" style="34" customWidth="1"/>
    <col min="6412" max="6412" width="9.7109375" style="34" customWidth="1"/>
    <col min="6413" max="6413" width="8.7109375" style="34" customWidth="1"/>
    <col min="6414" max="6414" width="7.140625" style="34" customWidth="1"/>
    <col min="6415" max="6656" width="9.140625" style="34"/>
    <col min="6657" max="6657" width="24.5703125" style="34" customWidth="1"/>
    <col min="6658" max="6658" width="9" style="34" customWidth="1"/>
    <col min="6659" max="6659" width="7.42578125" style="34" customWidth="1"/>
    <col min="6660" max="6660" width="8.85546875" style="34" customWidth="1"/>
    <col min="6661" max="6661" width="7.5703125" style="34" customWidth="1"/>
    <col min="6662" max="6662" width="12.140625" style="34" customWidth="1"/>
    <col min="6663" max="6663" width="10" style="34" customWidth="1"/>
    <col min="6664" max="6664" width="11.140625" style="34" customWidth="1"/>
    <col min="6665" max="6665" width="9.5703125" style="34" customWidth="1"/>
    <col min="6666" max="6666" width="9.140625" style="34"/>
    <col min="6667" max="6667" width="8.140625" style="34" customWidth="1"/>
    <col min="6668" max="6668" width="9.7109375" style="34" customWidth="1"/>
    <col min="6669" max="6669" width="8.7109375" style="34" customWidth="1"/>
    <col min="6670" max="6670" width="7.140625" style="34" customWidth="1"/>
    <col min="6671" max="6912" width="9.140625" style="34"/>
    <col min="6913" max="6913" width="24.5703125" style="34" customWidth="1"/>
    <col min="6914" max="6914" width="9" style="34" customWidth="1"/>
    <col min="6915" max="6915" width="7.42578125" style="34" customWidth="1"/>
    <col min="6916" max="6916" width="8.85546875" style="34" customWidth="1"/>
    <col min="6917" max="6917" width="7.5703125" style="34" customWidth="1"/>
    <col min="6918" max="6918" width="12.140625" style="34" customWidth="1"/>
    <col min="6919" max="6919" width="10" style="34" customWidth="1"/>
    <col min="6920" max="6920" width="11.140625" style="34" customWidth="1"/>
    <col min="6921" max="6921" width="9.5703125" style="34" customWidth="1"/>
    <col min="6922" max="6922" width="9.140625" style="34"/>
    <col min="6923" max="6923" width="8.140625" style="34" customWidth="1"/>
    <col min="6924" max="6924" width="9.7109375" style="34" customWidth="1"/>
    <col min="6925" max="6925" width="8.7109375" style="34" customWidth="1"/>
    <col min="6926" max="6926" width="7.140625" style="34" customWidth="1"/>
    <col min="6927" max="7168" width="9.140625" style="34"/>
    <col min="7169" max="7169" width="24.5703125" style="34" customWidth="1"/>
    <col min="7170" max="7170" width="9" style="34" customWidth="1"/>
    <col min="7171" max="7171" width="7.42578125" style="34" customWidth="1"/>
    <col min="7172" max="7172" width="8.85546875" style="34" customWidth="1"/>
    <col min="7173" max="7173" width="7.5703125" style="34" customWidth="1"/>
    <col min="7174" max="7174" width="12.140625" style="34" customWidth="1"/>
    <col min="7175" max="7175" width="10" style="34" customWidth="1"/>
    <col min="7176" max="7176" width="11.140625" style="34" customWidth="1"/>
    <col min="7177" max="7177" width="9.5703125" style="34" customWidth="1"/>
    <col min="7178" max="7178" width="9.140625" style="34"/>
    <col min="7179" max="7179" width="8.140625" style="34" customWidth="1"/>
    <col min="7180" max="7180" width="9.7109375" style="34" customWidth="1"/>
    <col min="7181" max="7181" width="8.7109375" style="34" customWidth="1"/>
    <col min="7182" max="7182" width="7.140625" style="34" customWidth="1"/>
    <col min="7183" max="7424" width="9.140625" style="34"/>
    <col min="7425" max="7425" width="24.5703125" style="34" customWidth="1"/>
    <col min="7426" max="7426" width="9" style="34" customWidth="1"/>
    <col min="7427" max="7427" width="7.42578125" style="34" customWidth="1"/>
    <col min="7428" max="7428" width="8.85546875" style="34" customWidth="1"/>
    <col min="7429" max="7429" width="7.5703125" style="34" customWidth="1"/>
    <col min="7430" max="7430" width="12.140625" style="34" customWidth="1"/>
    <col min="7431" max="7431" width="10" style="34" customWidth="1"/>
    <col min="7432" max="7432" width="11.140625" style="34" customWidth="1"/>
    <col min="7433" max="7433" width="9.5703125" style="34" customWidth="1"/>
    <col min="7434" max="7434" width="9.140625" style="34"/>
    <col min="7435" max="7435" width="8.140625" style="34" customWidth="1"/>
    <col min="7436" max="7436" width="9.7109375" style="34" customWidth="1"/>
    <col min="7437" max="7437" width="8.7109375" style="34" customWidth="1"/>
    <col min="7438" max="7438" width="7.140625" style="34" customWidth="1"/>
    <col min="7439" max="7680" width="9.140625" style="34"/>
    <col min="7681" max="7681" width="24.5703125" style="34" customWidth="1"/>
    <col min="7682" max="7682" width="9" style="34" customWidth="1"/>
    <col min="7683" max="7683" width="7.42578125" style="34" customWidth="1"/>
    <col min="7684" max="7684" width="8.85546875" style="34" customWidth="1"/>
    <col min="7685" max="7685" width="7.5703125" style="34" customWidth="1"/>
    <col min="7686" max="7686" width="12.140625" style="34" customWidth="1"/>
    <col min="7687" max="7687" width="10" style="34" customWidth="1"/>
    <col min="7688" max="7688" width="11.140625" style="34" customWidth="1"/>
    <col min="7689" max="7689" width="9.5703125" style="34" customWidth="1"/>
    <col min="7690" max="7690" width="9.140625" style="34"/>
    <col min="7691" max="7691" width="8.140625" style="34" customWidth="1"/>
    <col min="7692" max="7692" width="9.7109375" style="34" customWidth="1"/>
    <col min="7693" max="7693" width="8.7109375" style="34" customWidth="1"/>
    <col min="7694" max="7694" width="7.140625" style="34" customWidth="1"/>
    <col min="7695" max="7936" width="9.140625" style="34"/>
    <col min="7937" max="7937" width="24.5703125" style="34" customWidth="1"/>
    <col min="7938" max="7938" width="9" style="34" customWidth="1"/>
    <col min="7939" max="7939" width="7.42578125" style="34" customWidth="1"/>
    <col min="7940" max="7940" width="8.85546875" style="34" customWidth="1"/>
    <col min="7941" max="7941" width="7.5703125" style="34" customWidth="1"/>
    <col min="7942" max="7942" width="12.140625" style="34" customWidth="1"/>
    <col min="7943" max="7943" width="10" style="34" customWidth="1"/>
    <col min="7944" max="7944" width="11.140625" style="34" customWidth="1"/>
    <col min="7945" max="7945" width="9.5703125" style="34" customWidth="1"/>
    <col min="7946" max="7946" width="9.140625" style="34"/>
    <col min="7947" max="7947" width="8.140625" style="34" customWidth="1"/>
    <col min="7948" max="7948" width="9.7109375" style="34" customWidth="1"/>
    <col min="7949" max="7949" width="8.7109375" style="34" customWidth="1"/>
    <col min="7950" max="7950" width="7.140625" style="34" customWidth="1"/>
    <col min="7951" max="8192" width="9.140625" style="34"/>
    <col min="8193" max="8193" width="24.5703125" style="34" customWidth="1"/>
    <col min="8194" max="8194" width="9" style="34" customWidth="1"/>
    <col min="8195" max="8195" width="7.42578125" style="34" customWidth="1"/>
    <col min="8196" max="8196" width="8.85546875" style="34" customWidth="1"/>
    <col min="8197" max="8197" width="7.5703125" style="34" customWidth="1"/>
    <col min="8198" max="8198" width="12.140625" style="34" customWidth="1"/>
    <col min="8199" max="8199" width="10" style="34" customWidth="1"/>
    <col min="8200" max="8200" width="11.140625" style="34" customWidth="1"/>
    <col min="8201" max="8201" width="9.5703125" style="34" customWidth="1"/>
    <col min="8202" max="8202" width="9.140625" style="34"/>
    <col min="8203" max="8203" width="8.140625" style="34" customWidth="1"/>
    <col min="8204" max="8204" width="9.7109375" style="34" customWidth="1"/>
    <col min="8205" max="8205" width="8.7109375" style="34" customWidth="1"/>
    <col min="8206" max="8206" width="7.140625" style="34" customWidth="1"/>
    <col min="8207" max="8448" width="9.140625" style="34"/>
    <col min="8449" max="8449" width="24.5703125" style="34" customWidth="1"/>
    <col min="8450" max="8450" width="9" style="34" customWidth="1"/>
    <col min="8451" max="8451" width="7.42578125" style="34" customWidth="1"/>
    <col min="8452" max="8452" width="8.85546875" style="34" customWidth="1"/>
    <col min="8453" max="8453" width="7.5703125" style="34" customWidth="1"/>
    <col min="8454" max="8454" width="12.140625" style="34" customWidth="1"/>
    <col min="8455" max="8455" width="10" style="34" customWidth="1"/>
    <col min="8456" max="8456" width="11.140625" style="34" customWidth="1"/>
    <col min="8457" max="8457" width="9.5703125" style="34" customWidth="1"/>
    <col min="8458" max="8458" width="9.140625" style="34"/>
    <col min="8459" max="8459" width="8.140625" style="34" customWidth="1"/>
    <col min="8460" max="8460" width="9.7109375" style="34" customWidth="1"/>
    <col min="8461" max="8461" width="8.7109375" style="34" customWidth="1"/>
    <col min="8462" max="8462" width="7.140625" style="34" customWidth="1"/>
    <col min="8463" max="8704" width="9.140625" style="34"/>
    <col min="8705" max="8705" width="24.5703125" style="34" customWidth="1"/>
    <col min="8706" max="8706" width="9" style="34" customWidth="1"/>
    <col min="8707" max="8707" width="7.42578125" style="34" customWidth="1"/>
    <col min="8708" max="8708" width="8.85546875" style="34" customWidth="1"/>
    <col min="8709" max="8709" width="7.5703125" style="34" customWidth="1"/>
    <col min="8710" max="8710" width="12.140625" style="34" customWidth="1"/>
    <col min="8711" max="8711" width="10" style="34" customWidth="1"/>
    <col min="8712" max="8712" width="11.140625" style="34" customWidth="1"/>
    <col min="8713" max="8713" width="9.5703125" style="34" customWidth="1"/>
    <col min="8714" max="8714" width="9.140625" style="34"/>
    <col min="8715" max="8715" width="8.140625" style="34" customWidth="1"/>
    <col min="8716" max="8716" width="9.7109375" style="34" customWidth="1"/>
    <col min="8717" max="8717" width="8.7109375" style="34" customWidth="1"/>
    <col min="8718" max="8718" width="7.140625" style="34" customWidth="1"/>
    <col min="8719" max="8960" width="9.140625" style="34"/>
    <col min="8961" max="8961" width="24.5703125" style="34" customWidth="1"/>
    <col min="8962" max="8962" width="9" style="34" customWidth="1"/>
    <col min="8963" max="8963" width="7.42578125" style="34" customWidth="1"/>
    <col min="8964" max="8964" width="8.85546875" style="34" customWidth="1"/>
    <col min="8965" max="8965" width="7.5703125" style="34" customWidth="1"/>
    <col min="8966" max="8966" width="12.140625" style="34" customWidth="1"/>
    <col min="8967" max="8967" width="10" style="34" customWidth="1"/>
    <col min="8968" max="8968" width="11.140625" style="34" customWidth="1"/>
    <col min="8969" max="8969" width="9.5703125" style="34" customWidth="1"/>
    <col min="8970" max="8970" width="9.140625" style="34"/>
    <col min="8971" max="8971" width="8.140625" style="34" customWidth="1"/>
    <col min="8972" max="8972" width="9.7109375" style="34" customWidth="1"/>
    <col min="8973" max="8973" width="8.7109375" style="34" customWidth="1"/>
    <col min="8974" max="8974" width="7.140625" style="34" customWidth="1"/>
    <col min="8975" max="9216" width="9.140625" style="34"/>
    <col min="9217" max="9217" width="24.5703125" style="34" customWidth="1"/>
    <col min="9218" max="9218" width="9" style="34" customWidth="1"/>
    <col min="9219" max="9219" width="7.42578125" style="34" customWidth="1"/>
    <col min="9220" max="9220" width="8.85546875" style="34" customWidth="1"/>
    <col min="9221" max="9221" width="7.5703125" style="34" customWidth="1"/>
    <col min="9222" max="9222" width="12.140625" style="34" customWidth="1"/>
    <col min="9223" max="9223" width="10" style="34" customWidth="1"/>
    <col min="9224" max="9224" width="11.140625" style="34" customWidth="1"/>
    <col min="9225" max="9225" width="9.5703125" style="34" customWidth="1"/>
    <col min="9226" max="9226" width="9.140625" style="34"/>
    <col min="9227" max="9227" width="8.140625" style="34" customWidth="1"/>
    <col min="9228" max="9228" width="9.7109375" style="34" customWidth="1"/>
    <col min="9229" max="9229" width="8.7109375" style="34" customWidth="1"/>
    <col min="9230" max="9230" width="7.140625" style="34" customWidth="1"/>
    <col min="9231" max="9472" width="9.140625" style="34"/>
    <col min="9473" max="9473" width="24.5703125" style="34" customWidth="1"/>
    <col min="9474" max="9474" width="9" style="34" customWidth="1"/>
    <col min="9475" max="9475" width="7.42578125" style="34" customWidth="1"/>
    <col min="9476" max="9476" width="8.85546875" style="34" customWidth="1"/>
    <col min="9477" max="9477" width="7.5703125" style="34" customWidth="1"/>
    <col min="9478" max="9478" width="12.140625" style="34" customWidth="1"/>
    <col min="9479" max="9479" width="10" style="34" customWidth="1"/>
    <col min="9480" max="9480" width="11.140625" style="34" customWidth="1"/>
    <col min="9481" max="9481" width="9.5703125" style="34" customWidth="1"/>
    <col min="9482" max="9482" width="9.140625" style="34"/>
    <col min="9483" max="9483" width="8.140625" style="34" customWidth="1"/>
    <col min="9484" max="9484" width="9.7109375" style="34" customWidth="1"/>
    <col min="9485" max="9485" width="8.7109375" style="34" customWidth="1"/>
    <col min="9486" max="9486" width="7.140625" style="34" customWidth="1"/>
    <col min="9487" max="9728" width="9.140625" style="34"/>
    <col min="9729" max="9729" width="24.5703125" style="34" customWidth="1"/>
    <col min="9730" max="9730" width="9" style="34" customWidth="1"/>
    <col min="9731" max="9731" width="7.42578125" style="34" customWidth="1"/>
    <col min="9732" max="9732" width="8.85546875" style="34" customWidth="1"/>
    <col min="9733" max="9733" width="7.5703125" style="34" customWidth="1"/>
    <col min="9734" max="9734" width="12.140625" style="34" customWidth="1"/>
    <col min="9735" max="9735" width="10" style="34" customWidth="1"/>
    <col min="9736" max="9736" width="11.140625" style="34" customWidth="1"/>
    <col min="9737" max="9737" width="9.5703125" style="34" customWidth="1"/>
    <col min="9738" max="9738" width="9.140625" style="34"/>
    <col min="9739" max="9739" width="8.140625" style="34" customWidth="1"/>
    <col min="9740" max="9740" width="9.7109375" style="34" customWidth="1"/>
    <col min="9741" max="9741" width="8.7109375" style="34" customWidth="1"/>
    <col min="9742" max="9742" width="7.140625" style="34" customWidth="1"/>
    <col min="9743" max="9984" width="9.140625" style="34"/>
    <col min="9985" max="9985" width="24.5703125" style="34" customWidth="1"/>
    <col min="9986" max="9986" width="9" style="34" customWidth="1"/>
    <col min="9987" max="9987" width="7.42578125" style="34" customWidth="1"/>
    <col min="9988" max="9988" width="8.85546875" style="34" customWidth="1"/>
    <col min="9989" max="9989" width="7.5703125" style="34" customWidth="1"/>
    <col min="9990" max="9990" width="12.140625" style="34" customWidth="1"/>
    <col min="9991" max="9991" width="10" style="34" customWidth="1"/>
    <col min="9992" max="9992" width="11.140625" style="34" customWidth="1"/>
    <col min="9993" max="9993" width="9.5703125" style="34" customWidth="1"/>
    <col min="9994" max="9994" width="9.140625" style="34"/>
    <col min="9995" max="9995" width="8.140625" style="34" customWidth="1"/>
    <col min="9996" max="9996" width="9.7109375" style="34" customWidth="1"/>
    <col min="9997" max="9997" width="8.7109375" style="34" customWidth="1"/>
    <col min="9998" max="9998" width="7.140625" style="34" customWidth="1"/>
    <col min="9999" max="10240" width="9.140625" style="34"/>
    <col min="10241" max="10241" width="24.5703125" style="34" customWidth="1"/>
    <col min="10242" max="10242" width="9" style="34" customWidth="1"/>
    <col min="10243" max="10243" width="7.42578125" style="34" customWidth="1"/>
    <col min="10244" max="10244" width="8.85546875" style="34" customWidth="1"/>
    <col min="10245" max="10245" width="7.5703125" style="34" customWidth="1"/>
    <col min="10246" max="10246" width="12.140625" style="34" customWidth="1"/>
    <col min="10247" max="10247" width="10" style="34" customWidth="1"/>
    <col min="10248" max="10248" width="11.140625" style="34" customWidth="1"/>
    <col min="10249" max="10249" width="9.5703125" style="34" customWidth="1"/>
    <col min="10250" max="10250" width="9.140625" style="34"/>
    <col min="10251" max="10251" width="8.140625" style="34" customWidth="1"/>
    <col min="10252" max="10252" width="9.7109375" style="34" customWidth="1"/>
    <col min="10253" max="10253" width="8.7109375" style="34" customWidth="1"/>
    <col min="10254" max="10254" width="7.140625" style="34" customWidth="1"/>
    <col min="10255" max="10496" width="9.140625" style="34"/>
    <col min="10497" max="10497" width="24.5703125" style="34" customWidth="1"/>
    <col min="10498" max="10498" width="9" style="34" customWidth="1"/>
    <col min="10499" max="10499" width="7.42578125" style="34" customWidth="1"/>
    <col min="10500" max="10500" width="8.85546875" style="34" customWidth="1"/>
    <col min="10501" max="10501" width="7.5703125" style="34" customWidth="1"/>
    <col min="10502" max="10502" width="12.140625" style="34" customWidth="1"/>
    <col min="10503" max="10503" width="10" style="34" customWidth="1"/>
    <col min="10504" max="10504" width="11.140625" style="34" customWidth="1"/>
    <col min="10505" max="10505" width="9.5703125" style="34" customWidth="1"/>
    <col min="10506" max="10506" width="9.140625" style="34"/>
    <col min="10507" max="10507" width="8.140625" style="34" customWidth="1"/>
    <col min="10508" max="10508" width="9.7109375" style="34" customWidth="1"/>
    <col min="10509" max="10509" width="8.7109375" style="34" customWidth="1"/>
    <col min="10510" max="10510" width="7.140625" style="34" customWidth="1"/>
    <col min="10511" max="10752" width="9.140625" style="34"/>
    <col min="10753" max="10753" width="24.5703125" style="34" customWidth="1"/>
    <col min="10754" max="10754" width="9" style="34" customWidth="1"/>
    <col min="10755" max="10755" width="7.42578125" style="34" customWidth="1"/>
    <col min="10756" max="10756" width="8.85546875" style="34" customWidth="1"/>
    <col min="10757" max="10757" width="7.5703125" style="34" customWidth="1"/>
    <col min="10758" max="10758" width="12.140625" style="34" customWidth="1"/>
    <col min="10759" max="10759" width="10" style="34" customWidth="1"/>
    <col min="10760" max="10760" width="11.140625" style="34" customWidth="1"/>
    <col min="10761" max="10761" width="9.5703125" style="34" customWidth="1"/>
    <col min="10762" max="10762" width="9.140625" style="34"/>
    <col min="10763" max="10763" width="8.140625" style="34" customWidth="1"/>
    <col min="10764" max="10764" width="9.7109375" style="34" customWidth="1"/>
    <col min="10765" max="10765" width="8.7109375" style="34" customWidth="1"/>
    <col min="10766" max="10766" width="7.140625" style="34" customWidth="1"/>
    <col min="10767" max="11008" width="9.140625" style="34"/>
    <col min="11009" max="11009" width="24.5703125" style="34" customWidth="1"/>
    <col min="11010" max="11010" width="9" style="34" customWidth="1"/>
    <col min="11011" max="11011" width="7.42578125" style="34" customWidth="1"/>
    <col min="11012" max="11012" width="8.85546875" style="34" customWidth="1"/>
    <col min="11013" max="11013" width="7.5703125" style="34" customWidth="1"/>
    <col min="11014" max="11014" width="12.140625" style="34" customWidth="1"/>
    <col min="11015" max="11015" width="10" style="34" customWidth="1"/>
    <col min="11016" max="11016" width="11.140625" style="34" customWidth="1"/>
    <col min="11017" max="11017" width="9.5703125" style="34" customWidth="1"/>
    <col min="11018" max="11018" width="9.140625" style="34"/>
    <col min="11019" max="11019" width="8.140625" style="34" customWidth="1"/>
    <col min="11020" max="11020" width="9.7109375" style="34" customWidth="1"/>
    <col min="11021" max="11021" width="8.7109375" style="34" customWidth="1"/>
    <col min="11022" max="11022" width="7.140625" style="34" customWidth="1"/>
    <col min="11023" max="11264" width="9.140625" style="34"/>
    <col min="11265" max="11265" width="24.5703125" style="34" customWidth="1"/>
    <col min="11266" max="11266" width="9" style="34" customWidth="1"/>
    <col min="11267" max="11267" width="7.42578125" style="34" customWidth="1"/>
    <col min="11268" max="11268" width="8.85546875" style="34" customWidth="1"/>
    <col min="11269" max="11269" width="7.5703125" style="34" customWidth="1"/>
    <col min="11270" max="11270" width="12.140625" style="34" customWidth="1"/>
    <col min="11271" max="11271" width="10" style="34" customWidth="1"/>
    <col min="11272" max="11272" width="11.140625" style="34" customWidth="1"/>
    <col min="11273" max="11273" width="9.5703125" style="34" customWidth="1"/>
    <col min="11274" max="11274" width="9.140625" style="34"/>
    <col min="11275" max="11275" width="8.140625" style="34" customWidth="1"/>
    <col min="11276" max="11276" width="9.7109375" style="34" customWidth="1"/>
    <col min="11277" max="11277" width="8.7109375" style="34" customWidth="1"/>
    <col min="11278" max="11278" width="7.140625" style="34" customWidth="1"/>
    <col min="11279" max="11520" width="9.140625" style="34"/>
    <col min="11521" max="11521" width="24.5703125" style="34" customWidth="1"/>
    <col min="11522" max="11522" width="9" style="34" customWidth="1"/>
    <col min="11523" max="11523" width="7.42578125" style="34" customWidth="1"/>
    <col min="11524" max="11524" width="8.85546875" style="34" customWidth="1"/>
    <col min="11525" max="11525" width="7.5703125" style="34" customWidth="1"/>
    <col min="11526" max="11526" width="12.140625" style="34" customWidth="1"/>
    <col min="11527" max="11527" width="10" style="34" customWidth="1"/>
    <col min="11528" max="11528" width="11.140625" style="34" customWidth="1"/>
    <col min="11529" max="11529" width="9.5703125" style="34" customWidth="1"/>
    <col min="11530" max="11530" width="9.140625" style="34"/>
    <col min="11531" max="11531" width="8.140625" style="34" customWidth="1"/>
    <col min="11532" max="11532" width="9.7109375" style="34" customWidth="1"/>
    <col min="11533" max="11533" width="8.7109375" style="34" customWidth="1"/>
    <col min="11534" max="11534" width="7.140625" style="34" customWidth="1"/>
    <col min="11535" max="11776" width="9.140625" style="34"/>
    <col min="11777" max="11777" width="24.5703125" style="34" customWidth="1"/>
    <col min="11778" max="11778" width="9" style="34" customWidth="1"/>
    <col min="11779" max="11779" width="7.42578125" style="34" customWidth="1"/>
    <col min="11780" max="11780" width="8.85546875" style="34" customWidth="1"/>
    <col min="11781" max="11781" width="7.5703125" style="34" customWidth="1"/>
    <col min="11782" max="11782" width="12.140625" style="34" customWidth="1"/>
    <col min="11783" max="11783" width="10" style="34" customWidth="1"/>
    <col min="11784" max="11784" width="11.140625" style="34" customWidth="1"/>
    <col min="11785" max="11785" width="9.5703125" style="34" customWidth="1"/>
    <col min="11786" max="11786" width="9.140625" style="34"/>
    <col min="11787" max="11787" width="8.140625" style="34" customWidth="1"/>
    <col min="11788" max="11788" width="9.7109375" style="34" customWidth="1"/>
    <col min="11789" max="11789" width="8.7109375" style="34" customWidth="1"/>
    <col min="11790" max="11790" width="7.140625" style="34" customWidth="1"/>
    <col min="11791" max="12032" width="9.140625" style="34"/>
    <col min="12033" max="12033" width="24.5703125" style="34" customWidth="1"/>
    <col min="12034" max="12034" width="9" style="34" customWidth="1"/>
    <col min="12035" max="12035" width="7.42578125" style="34" customWidth="1"/>
    <col min="12036" max="12036" width="8.85546875" style="34" customWidth="1"/>
    <col min="12037" max="12037" width="7.5703125" style="34" customWidth="1"/>
    <col min="12038" max="12038" width="12.140625" style="34" customWidth="1"/>
    <col min="12039" max="12039" width="10" style="34" customWidth="1"/>
    <col min="12040" max="12040" width="11.140625" style="34" customWidth="1"/>
    <col min="12041" max="12041" width="9.5703125" style="34" customWidth="1"/>
    <col min="12042" max="12042" width="9.140625" style="34"/>
    <col min="12043" max="12043" width="8.140625" style="34" customWidth="1"/>
    <col min="12044" max="12044" width="9.7109375" style="34" customWidth="1"/>
    <col min="12045" max="12045" width="8.7109375" style="34" customWidth="1"/>
    <col min="12046" max="12046" width="7.140625" style="34" customWidth="1"/>
    <col min="12047" max="12288" width="9.140625" style="34"/>
    <col min="12289" max="12289" width="24.5703125" style="34" customWidth="1"/>
    <col min="12290" max="12290" width="9" style="34" customWidth="1"/>
    <col min="12291" max="12291" width="7.42578125" style="34" customWidth="1"/>
    <col min="12292" max="12292" width="8.85546875" style="34" customWidth="1"/>
    <col min="12293" max="12293" width="7.5703125" style="34" customWidth="1"/>
    <col min="12294" max="12294" width="12.140625" style="34" customWidth="1"/>
    <col min="12295" max="12295" width="10" style="34" customWidth="1"/>
    <col min="12296" max="12296" width="11.140625" style="34" customWidth="1"/>
    <col min="12297" max="12297" width="9.5703125" style="34" customWidth="1"/>
    <col min="12298" max="12298" width="9.140625" style="34"/>
    <col min="12299" max="12299" width="8.140625" style="34" customWidth="1"/>
    <col min="12300" max="12300" width="9.7109375" style="34" customWidth="1"/>
    <col min="12301" max="12301" width="8.7109375" style="34" customWidth="1"/>
    <col min="12302" max="12302" width="7.140625" style="34" customWidth="1"/>
    <col min="12303" max="12544" width="9.140625" style="34"/>
    <col min="12545" max="12545" width="24.5703125" style="34" customWidth="1"/>
    <col min="12546" max="12546" width="9" style="34" customWidth="1"/>
    <col min="12547" max="12547" width="7.42578125" style="34" customWidth="1"/>
    <col min="12548" max="12548" width="8.85546875" style="34" customWidth="1"/>
    <col min="12549" max="12549" width="7.5703125" style="34" customWidth="1"/>
    <col min="12550" max="12550" width="12.140625" style="34" customWidth="1"/>
    <col min="12551" max="12551" width="10" style="34" customWidth="1"/>
    <col min="12552" max="12552" width="11.140625" style="34" customWidth="1"/>
    <col min="12553" max="12553" width="9.5703125" style="34" customWidth="1"/>
    <col min="12554" max="12554" width="9.140625" style="34"/>
    <col min="12555" max="12555" width="8.140625" style="34" customWidth="1"/>
    <col min="12556" max="12556" width="9.7109375" style="34" customWidth="1"/>
    <col min="12557" max="12557" width="8.7109375" style="34" customWidth="1"/>
    <col min="12558" max="12558" width="7.140625" style="34" customWidth="1"/>
    <col min="12559" max="12800" width="9.140625" style="34"/>
    <col min="12801" max="12801" width="24.5703125" style="34" customWidth="1"/>
    <col min="12802" max="12802" width="9" style="34" customWidth="1"/>
    <col min="12803" max="12803" width="7.42578125" style="34" customWidth="1"/>
    <col min="12804" max="12804" width="8.85546875" style="34" customWidth="1"/>
    <col min="12805" max="12805" width="7.5703125" style="34" customWidth="1"/>
    <col min="12806" max="12806" width="12.140625" style="34" customWidth="1"/>
    <col min="12807" max="12807" width="10" style="34" customWidth="1"/>
    <col min="12808" max="12808" width="11.140625" style="34" customWidth="1"/>
    <col min="12809" max="12809" width="9.5703125" style="34" customWidth="1"/>
    <col min="12810" max="12810" width="9.140625" style="34"/>
    <col min="12811" max="12811" width="8.140625" style="34" customWidth="1"/>
    <col min="12812" max="12812" width="9.7109375" style="34" customWidth="1"/>
    <col min="12813" max="12813" width="8.7109375" style="34" customWidth="1"/>
    <col min="12814" max="12814" width="7.140625" style="34" customWidth="1"/>
    <col min="12815" max="13056" width="9.140625" style="34"/>
    <col min="13057" max="13057" width="24.5703125" style="34" customWidth="1"/>
    <col min="13058" max="13058" width="9" style="34" customWidth="1"/>
    <col min="13059" max="13059" width="7.42578125" style="34" customWidth="1"/>
    <col min="13060" max="13060" width="8.85546875" style="34" customWidth="1"/>
    <col min="13061" max="13061" width="7.5703125" style="34" customWidth="1"/>
    <col min="13062" max="13062" width="12.140625" style="34" customWidth="1"/>
    <col min="13063" max="13063" width="10" style="34" customWidth="1"/>
    <col min="13064" max="13064" width="11.140625" style="34" customWidth="1"/>
    <col min="13065" max="13065" width="9.5703125" style="34" customWidth="1"/>
    <col min="13066" max="13066" width="9.140625" style="34"/>
    <col min="13067" max="13067" width="8.140625" style="34" customWidth="1"/>
    <col min="13068" max="13068" width="9.7109375" style="34" customWidth="1"/>
    <col min="13069" max="13069" width="8.7109375" style="34" customWidth="1"/>
    <col min="13070" max="13070" width="7.140625" style="34" customWidth="1"/>
    <col min="13071" max="13312" width="9.140625" style="34"/>
    <col min="13313" max="13313" width="24.5703125" style="34" customWidth="1"/>
    <col min="13314" max="13314" width="9" style="34" customWidth="1"/>
    <col min="13315" max="13315" width="7.42578125" style="34" customWidth="1"/>
    <col min="13316" max="13316" width="8.85546875" style="34" customWidth="1"/>
    <col min="13317" max="13317" width="7.5703125" style="34" customWidth="1"/>
    <col min="13318" max="13318" width="12.140625" style="34" customWidth="1"/>
    <col min="13319" max="13319" width="10" style="34" customWidth="1"/>
    <col min="13320" max="13320" width="11.140625" style="34" customWidth="1"/>
    <col min="13321" max="13321" width="9.5703125" style="34" customWidth="1"/>
    <col min="13322" max="13322" width="9.140625" style="34"/>
    <col min="13323" max="13323" width="8.140625" style="34" customWidth="1"/>
    <col min="13324" max="13324" width="9.7109375" style="34" customWidth="1"/>
    <col min="13325" max="13325" width="8.7109375" style="34" customWidth="1"/>
    <col min="13326" max="13326" width="7.140625" style="34" customWidth="1"/>
    <col min="13327" max="13568" width="9.140625" style="34"/>
    <col min="13569" max="13569" width="24.5703125" style="34" customWidth="1"/>
    <col min="13570" max="13570" width="9" style="34" customWidth="1"/>
    <col min="13571" max="13571" width="7.42578125" style="34" customWidth="1"/>
    <col min="13572" max="13572" width="8.85546875" style="34" customWidth="1"/>
    <col min="13573" max="13573" width="7.5703125" style="34" customWidth="1"/>
    <col min="13574" max="13574" width="12.140625" style="34" customWidth="1"/>
    <col min="13575" max="13575" width="10" style="34" customWidth="1"/>
    <col min="13576" max="13576" width="11.140625" style="34" customWidth="1"/>
    <col min="13577" max="13577" width="9.5703125" style="34" customWidth="1"/>
    <col min="13578" max="13578" width="9.140625" style="34"/>
    <col min="13579" max="13579" width="8.140625" style="34" customWidth="1"/>
    <col min="13580" max="13580" width="9.7109375" style="34" customWidth="1"/>
    <col min="13581" max="13581" width="8.7109375" style="34" customWidth="1"/>
    <col min="13582" max="13582" width="7.140625" style="34" customWidth="1"/>
    <col min="13583" max="13824" width="9.140625" style="34"/>
    <col min="13825" max="13825" width="24.5703125" style="34" customWidth="1"/>
    <col min="13826" max="13826" width="9" style="34" customWidth="1"/>
    <col min="13827" max="13827" width="7.42578125" style="34" customWidth="1"/>
    <col min="13828" max="13828" width="8.85546875" style="34" customWidth="1"/>
    <col min="13829" max="13829" width="7.5703125" style="34" customWidth="1"/>
    <col min="13830" max="13830" width="12.140625" style="34" customWidth="1"/>
    <col min="13831" max="13831" width="10" style="34" customWidth="1"/>
    <col min="13832" max="13832" width="11.140625" style="34" customWidth="1"/>
    <col min="13833" max="13833" width="9.5703125" style="34" customWidth="1"/>
    <col min="13834" max="13834" width="9.140625" style="34"/>
    <col min="13835" max="13835" width="8.140625" style="34" customWidth="1"/>
    <col min="13836" max="13836" width="9.7109375" style="34" customWidth="1"/>
    <col min="13837" max="13837" width="8.7109375" style="34" customWidth="1"/>
    <col min="13838" max="13838" width="7.140625" style="34" customWidth="1"/>
    <col min="13839" max="14080" width="9.140625" style="34"/>
    <col min="14081" max="14081" width="24.5703125" style="34" customWidth="1"/>
    <col min="14082" max="14082" width="9" style="34" customWidth="1"/>
    <col min="14083" max="14083" width="7.42578125" style="34" customWidth="1"/>
    <col min="14084" max="14084" width="8.85546875" style="34" customWidth="1"/>
    <col min="14085" max="14085" width="7.5703125" style="34" customWidth="1"/>
    <col min="14086" max="14086" width="12.140625" style="34" customWidth="1"/>
    <col min="14087" max="14087" width="10" style="34" customWidth="1"/>
    <col min="14088" max="14088" width="11.140625" style="34" customWidth="1"/>
    <col min="14089" max="14089" width="9.5703125" style="34" customWidth="1"/>
    <col min="14090" max="14090" width="9.140625" style="34"/>
    <col min="14091" max="14091" width="8.140625" style="34" customWidth="1"/>
    <col min="14092" max="14092" width="9.7109375" style="34" customWidth="1"/>
    <col min="14093" max="14093" width="8.7109375" style="34" customWidth="1"/>
    <col min="14094" max="14094" width="7.140625" style="34" customWidth="1"/>
    <col min="14095" max="14336" width="9.140625" style="34"/>
    <col min="14337" max="14337" width="24.5703125" style="34" customWidth="1"/>
    <col min="14338" max="14338" width="9" style="34" customWidth="1"/>
    <col min="14339" max="14339" width="7.42578125" style="34" customWidth="1"/>
    <col min="14340" max="14340" width="8.85546875" style="34" customWidth="1"/>
    <col min="14341" max="14341" width="7.5703125" style="34" customWidth="1"/>
    <col min="14342" max="14342" width="12.140625" style="34" customWidth="1"/>
    <col min="14343" max="14343" width="10" style="34" customWidth="1"/>
    <col min="14344" max="14344" width="11.140625" style="34" customWidth="1"/>
    <col min="14345" max="14345" width="9.5703125" style="34" customWidth="1"/>
    <col min="14346" max="14346" width="9.140625" style="34"/>
    <col min="14347" max="14347" width="8.140625" style="34" customWidth="1"/>
    <col min="14348" max="14348" width="9.7109375" style="34" customWidth="1"/>
    <col min="14349" max="14349" width="8.7109375" style="34" customWidth="1"/>
    <col min="14350" max="14350" width="7.140625" style="34" customWidth="1"/>
    <col min="14351" max="14592" width="9.140625" style="34"/>
    <col min="14593" max="14593" width="24.5703125" style="34" customWidth="1"/>
    <col min="14594" max="14594" width="9" style="34" customWidth="1"/>
    <col min="14595" max="14595" width="7.42578125" style="34" customWidth="1"/>
    <col min="14596" max="14596" width="8.85546875" style="34" customWidth="1"/>
    <col min="14597" max="14597" width="7.5703125" style="34" customWidth="1"/>
    <col min="14598" max="14598" width="12.140625" style="34" customWidth="1"/>
    <col min="14599" max="14599" width="10" style="34" customWidth="1"/>
    <col min="14600" max="14600" width="11.140625" style="34" customWidth="1"/>
    <col min="14601" max="14601" width="9.5703125" style="34" customWidth="1"/>
    <col min="14602" max="14602" width="9.140625" style="34"/>
    <col min="14603" max="14603" width="8.140625" style="34" customWidth="1"/>
    <col min="14604" max="14604" width="9.7109375" style="34" customWidth="1"/>
    <col min="14605" max="14605" width="8.7109375" style="34" customWidth="1"/>
    <col min="14606" max="14606" width="7.140625" style="34" customWidth="1"/>
    <col min="14607" max="14848" width="9.140625" style="34"/>
    <col min="14849" max="14849" width="24.5703125" style="34" customWidth="1"/>
    <col min="14850" max="14850" width="9" style="34" customWidth="1"/>
    <col min="14851" max="14851" width="7.42578125" style="34" customWidth="1"/>
    <col min="14852" max="14852" width="8.85546875" style="34" customWidth="1"/>
    <col min="14853" max="14853" width="7.5703125" style="34" customWidth="1"/>
    <col min="14854" max="14854" width="12.140625" style="34" customWidth="1"/>
    <col min="14855" max="14855" width="10" style="34" customWidth="1"/>
    <col min="14856" max="14856" width="11.140625" style="34" customWidth="1"/>
    <col min="14857" max="14857" width="9.5703125" style="34" customWidth="1"/>
    <col min="14858" max="14858" width="9.140625" style="34"/>
    <col min="14859" max="14859" width="8.140625" style="34" customWidth="1"/>
    <col min="14860" max="14860" width="9.7109375" style="34" customWidth="1"/>
    <col min="14861" max="14861" width="8.7109375" style="34" customWidth="1"/>
    <col min="14862" max="14862" width="7.140625" style="34" customWidth="1"/>
    <col min="14863" max="15104" width="9.140625" style="34"/>
    <col min="15105" max="15105" width="24.5703125" style="34" customWidth="1"/>
    <col min="15106" max="15106" width="9" style="34" customWidth="1"/>
    <col min="15107" max="15107" width="7.42578125" style="34" customWidth="1"/>
    <col min="15108" max="15108" width="8.85546875" style="34" customWidth="1"/>
    <col min="15109" max="15109" width="7.5703125" style="34" customWidth="1"/>
    <col min="15110" max="15110" width="12.140625" style="34" customWidth="1"/>
    <col min="15111" max="15111" width="10" style="34" customWidth="1"/>
    <col min="15112" max="15112" width="11.140625" style="34" customWidth="1"/>
    <col min="15113" max="15113" width="9.5703125" style="34" customWidth="1"/>
    <col min="15114" max="15114" width="9.140625" style="34"/>
    <col min="15115" max="15115" width="8.140625" style="34" customWidth="1"/>
    <col min="15116" max="15116" width="9.7109375" style="34" customWidth="1"/>
    <col min="15117" max="15117" width="8.7109375" style="34" customWidth="1"/>
    <col min="15118" max="15118" width="7.140625" style="34" customWidth="1"/>
    <col min="15119" max="15360" width="9.140625" style="34"/>
    <col min="15361" max="15361" width="24.5703125" style="34" customWidth="1"/>
    <col min="15362" max="15362" width="9" style="34" customWidth="1"/>
    <col min="15363" max="15363" width="7.42578125" style="34" customWidth="1"/>
    <col min="15364" max="15364" width="8.85546875" style="34" customWidth="1"/>
    <col min="15365" max="15365" width="7.5703125" style="34" customWidth="1"/>
    <col min="15366" max="15366" width="12.140625" style="34" customWidth="1"/>
    <col min="15367" max="15367" width="10" style="34" customWidth="1"/>
    <col min="15368" max="15368" width="11.140625" style="34" customWidth="1"/>
    <col min="15369" max="15369" width="9.5703125" style="34" customWidth="1"/>
    <col min="15370" max="15370" width="9.140625" style="34"/>
    <col min="15371" max="15371" width="8.140625" style="34" customWidth="1"/>
    <col min="15372" max="15372" width="9.7109375" style="34" customWidth="1"/>
    <col min="15373" max="15373" width="8.7109375" style="34" customWidth="1"/>
    <col min="15374" max="15374" width="7.140625" style="34" customWidth="1"/>
    <col min="15375" max="15616" width="9.140625" style="34"/>
    <col min="15617" max="15617" width="24.5703125" style="34" customWidth="1"/>
    <col min="15618" max="15618" width="9" style="34" customWidth="1"/>
    <col min="15619" max="15619" width="7.42578125" style="34" customWidth="1"/>
    <col min="15620" max="15620" width="8.85546875" style="34" customWidth="1"/>
    <col min="15621" max="15621" width="7.5703125" style="34" customWidth="1"/>
    <col min="15622" max="15622" width="12.140625" style="34" customWidth="1"/>
    <col min="15623" max="15623" width="10" style="34" customWidth="1"/>
    <col min="15624" max="15624" width="11.140625" style="34" customWidth="1"/>
    <col min="15625" max="15625" width="9.5703125" style="34" customWidth="1"/>
    <col min="15626" max="15626" width="9.140625" style="34"/>
    <col min="15627" max="15627" width="8.140625" style="34" customWidth="1"/>
    <col min="15628" max="15628" width="9.7109375" style="34" customWidth="1"/>
    <col min="15629" max="15629" width="8.7109375" style="34" customWidth="1"/>
    <col min="15630" max="15630" width="7.140625" style="34" customWidth="1"/>
    <col min="15631" max="15872" width="9.140625" style="34"/>
    <col min="15873" max="15873" width="24.5703125" style="34" customWidth="1"/>
    <col min="15874" max="15874" width="9" style="34" customWidth="1"/>
    <col min="15875" max="15875" width="7.42578125" style="34" customWidth="1"/>
    <col min="15876" max="15876" width="8.85546875" style="34" customWidth="1"/>
    <col min="15877" max="15877" width="7.5703125" style="34" customWidth="1"/>
    <col min="15878" max="15878" width="12.140625" style="34" customWidth="1"/>
    <col min="15879" max="15879" width="10" style="34" customWidth="1"/>
    <col min="15880" max="15880" width="11.140625" style="34" customWidth="1"/>
    <col min="15881" max="15881" width="9.5703125" style="34" customWidth="1"/>
    <col min="15882" max="15882" width="9.140625" style="34"/>
    <col min="15883" max="15883" width="8.140625" style="34" customWidth="1"/>
    <col min="15884" max="15884" width="9.7109375" style="34" customWidth="1"/>
    <col min="15885" max="15885" width="8.7109375" style="34" customWidth="1"/>
    <col min="15886" max="15886" width="7.140625" style="34" customWidth="1"/>
    <col min="15887" max="16128" width="9.140625" style="34"/>
    <col min="16129" max="16129" width="24.5703125" style="34" customWidth="1"/>
    <col min="16130" max="16130" width="9" style="34" customWidth="1"/>
    <col min="16131" max="16131" width="7.42578125" style="34" customWidth="1"/>
    <col min="16132" max="16132" width="8.85546875" style="34" customWidth="1"/>
    <col min="16133" max="16133" width="7.5703125" style="34" customWidth="1"/>
    <col min="16134" max="16134" width="12.140625" style="34" customWidth="1"/>
    <col min="16135" max="16135" width="10" style="34" customWidth="1"/>
    <col min="16136" max="16136" width="11.140625" style="34" customWidth="1"/>
    <col min="16137" max="16137" width="9.5703125" style="34" customWidth="1"/>
    <col min="16138" max="16138" width="9.140625" style="34"/>
    <col min="16139" max="16139" width="8.140625" style="34" customWidth="1"/>
    <col min="16140" max="16140" width="9.7109375" style="34" customWidth="1"/>
    <col min="16141" max="16141" width="8.7109375" style="34" customWidth="1"/>
    <col min="16142" max="16142" width="7.140625" style="34" customWidth="1"/>
    <col min="16143" max="16384" width="9.140625" style="34"/>
  </cols>
  <sheetData>
    <row r="1" spans="1:14" ht="18">
      <c r="A1" s="874" t="s">
        <v>209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</row>
    <row r="2" spans="1:14">
      <c r="A2" s="875" t="s">
        <v>468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</row>
    <row r="3" spans="1:14" ht="15">
      <c r="A3" s="489" t="s">
        <v>585</v>
      </c>
      <c r="B3" s="489"/>
      <c r="C3" s="489"/>
    </row>
    <row r="4" spans="1:14" s="44" customFormat="1" ht="15.95" customHeight="1">
      <c r="A4" s="46" t="s">
        <v>272</v>
      </c>
      <c r="B4" s="876" t="s">
        <v>469</v>
      </c>
      <c r="C4" s="876"/>
      <c r="D4" s="876"/>
      <c r="E4" s="876"/>
      <c r="F4" s="873" t="s">
        <v>470</v>
      </c>
      <c r="G4" s="877"/>
      <c r="H4" s="404">
        <v>10</v>
      </c>
      <c r="I4" s="873" t="s">
        <v>208</v>
      </c>
      <c r="J4" s="877"/>
      <c r="K4" s="49">
        <v>5123.1499999999996</v>
      </c>
      <c r="L4" s="873" t="s">
        <v>33</v>
      </c>
      <c r="M4" s="873"/>
      <c r="N4" s="404" t="s">
        <v>207</v>
      </c>
    </row>
    <row r="5" spans="1:14" s="44" customFormat="1" ht="15.95" customHeight="1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s="44" customFormat="1" ht="15.95" customHeight="1">
      <c r="A6" s="48" t="s">
        <v>347</v>
      </c>
      <c r="B6" s="876" t="s">
        <v>471</v>
      </c>
      <c r="C6" s="876"/>
      <c r="D6" s="876"/>
      <c r="E6" s="876"/>
      <c r="F6" s="872" t="s">
        <v>472</v>
      </c>
      <c r="G6" s="877"/>
      <c r="H6" s="876" t="s">
        <v>473</v>
      </c>
      <c r="I6" s="876"/>
      <c r="J6" s="876"/>
      <c r="K6" s="876"/>
      <c r="L6" s="45"/>
      <c r="M6" s="45"/>
      <c r="N6" s="45"/>
    </row>
    <row r="7" spans="1:14" s="44" customFormat="1" ht="15.95" customHeight="1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s="132" customFormat="1" ht="51" customHeight="1">
      <c r="A8" s="131" t="s">
        <v>474</v>
      </c>
      <c r="B8" s="878" t="s">
        <v>475</v>
      </c>
      <c r="C8" s="879"/>
      <c r="D8" s="879"/>
      <c r="E8" s="879"/>
      <c r="F8" s="879"/>
      <c r="G8" s="880"/>
      <c r="H8" s="36"/>
      <c r="I8" s="878" t="s">
        <v>476</v>
      </c>
      <c r="J8" s="879"/>
      <c r="K8" s="879"/>
      <c r="L8" s="879"/>
      <c r="M8" s="879"/>
      <c r="N8" s="880"/>
    </row>
    <row r="9" spans="1:14" s="44" customFormat="1" ht="15.9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44" customFormat="1" ht="15.95" customHeight="1">
      <c r="A10" s="46" t="s">
        <v>206</v>
      </c>
      <c r="B10" s="404">
        <v>17</v>
      </c>
      <c r="C10" s="872" t="s">
        <v>205</v>
      </c>
      <c r="D10" s="873"/>
      <c r="E10" s="873"/>
      <c r="F10" s="404">
        <v>12</v>
      </c>
      <c r="G10" s="47" t="s">
        <v>163</v>
      </c>
      <c r="H10" s="404">
        <v>236</v>
      </c>
      <c r="I10" s="403" t="s">
        <v>204</v>
      </c>
      <c r="J10" s="404">
        <v>9</v>
      </c>
      <c r="K10" s="403" t="s">
        <v>203</v>
      </c>
      <c r="L10" s="404"/>
      <c r="M10" s="45"/>
      <c r="N10" s="45"/>
    </row>
    <row r="11" spans="1:14" s="44" customFormat="1" ht="15.95" customHeight="1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s="44" customFormat="1" ht="15.95" customHeight="1">
      <c r="A12" s="46" t="s">
        <v>96</v>
      </c>
      <c r="B12" s="403" t="s">
        <v>40</v>
      </c>
      <c r="C12" s="404">
        <v>2284</v>
      </c>
      <c r="D12" s="403" t="s">
        <v>41</v>
      </c>
      <c r="E12" s="404">
        <v>391</v>
      </c>
      <c r="F12" s="403" t="s">
        <v>42</v>
      </c>
      <c r="G12" s="404">
        <v>692</v>
      </c>
      <c r="H12" s="403" t="s">
        <v>64</v>
      </c>
      <c r="I12" s="404">
        <v>3367</v>
      </c>
      <c r="J12" s="47" t="s">
        <v>79</v>
      </c>
      <c r="K12" s="404">
        <v>1521</v>
      </c>
      <c r="L12" s="873" t="s">
        <v>202</v>
      </c>
      <c r="M12" s="873"/>
      <c r="N12" s="404"/>
    </row>
    <row r="13" spans="1:14" s="44" customFormat="1" ht="15.95" customHeight="1">
      <c r="A13" s="46" t="s">
        <v>45</v>
      </c>
      <c r="B13" s="403" t="s">
        <v>46</v>
      </c>
      <c r="C13" s="404">
        <v>4437</v>
      </c>
      <c r="D13" s="403" t="s">
        <v>201</v>
      </c>
      <c r="E13" s="404">
        <v>861</v>
      </c>
      <c r="F13" s="403" t="s">
        <v>48</v>
      </c>
      <c r="G13" s="404">
        <v>1241</v>
      </c>
      <c r="H13" s="403" t="s">
        <v>77</v>
      </c>
      <c r="I13" s="404">
        <v>6539</v>
      </c>
      <c r="J13" s="45"/>
      <c r="K13" s="45"/>
      <c r="L13" s="45"/>
      <c r="M13" s="45"/>
      <c r="N13" s="45"/>
    </row>
    <row r="14" spans="1:14" s="44" customFormat="1" ht="15.95" customHeight="1">
      <c r="B14" s="403" t="s">
        <v>49</v>
      </c>
      <c r="C14" s="404">
        <v>5224</v>
      </c>
      <c r="D14" s="403" t="s">
        <v>50</v>
      </c>
      <c r="E14" s="404">
        <v>884</v>
      </c>
      <c r="F14" s="403" t="s">
        <v>51</v>
      </c>
      <c r="G14" s="404">
        <v>1267</v>
      </c>
      <c r="H14" s="403" t="s">
        <v>76</v>
      </c>
      <c r="I14" s="404">
        <v>7375</v>
      </c>
      <c r="J14" s="45"/>
      <c r="K14" s="45"/>
      <c r="L14" s="45"/>
      <c r="M14" s="45"/>
      <c r="N14" s="45"/>
    </row>
    <row r="15" spans="1:14" s="44" customFormat="1" ht="15.95" customHeight="1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s="44" customFormat="1" ht="15.95" customHeight="1">
      <c r="A16" s="44" t="s">
        <v>52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s="44" customFormat="1" ht="15.95" customHeight="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s="39" customFormat="1" ht="18.75" customHeight="1">
      <c r="A18" s="881" t="s">
        <v>53</v>
      </c>
      <c r="B18" s="881" t="s">
        <v>172</v>
      </c>
      <c r="C18" s="881" t="s">
        <v>55</v>
      </c>
      <c r="D18" s="881" t="s">
        <v>200</v>
      </c>
      <c r="E18" s="881" t="s">
        <v>199</v>
      </c>
      <c r="F18" s="883" t="s">
        <v>198</v>
      </c>
      <c r="G18" s="884"/>
      <c r="H18" s="884"/>
      <c r="I18" s="884"/>
      <c r="J18" s="884"/>
      <c r="K18" s="884"/>
      <c r="L18" s="884"/>
      <c r="M18" s="884"/>
      <c r="N18" s="885"/>
    </row>
    <row r="19" spans="1:14" s="39" customFormat="1" ht="18.75" customHeight="1">
      <c r="A19" s="882"/>
      <c r="B19" s="882"/>
      <c r="C19" s="882"/>
      <c r="D19" s="882"/>
      <c r="E19" s="882"/>
      <c r="F19" s="43" t="s">
        <v>105</v>
      </c>
      <c r="G19" s="43" t="s">
        <v>106</v>
      </c>
      <c r="H19" s="43" t="s">
        <v>107</v>
      </c>
      <c r="I19" s="43" t="s">
        <v>108</v>
      </c>
      <c r="J19" s="43" t="s">
        <v>109</v>
      </c>
      <c r="K19" s="43" t="s">
        <v>110</v>
      </c>
      <c r="L19" s="43" t="s">
        <v>111</v>
      </c>
      <c r="M19" s="43" t="s">
        <v>64</v>
      </c>
      <c r="N19" s="43" t="s">
        <v>65</v>
      </c>
    </row>
    <row r="20" spans="1:14" s="39" customFormat="1" ht="26.1" customHeight="1">
      <c r="A20" s="42" t="s">
        <v>370</v>
      </c>
      <c r="B20" s="40">
        <v>500</v>
      </c>
      <c r="C20" s="40" t="s">
        <v>66</v>
      </c>
      <c r="D20" s="41">
        <v>25.615950000000002</v>
      </c>
      <c r="E20" s="41">
        <v>15.59</v>
      </c>
      <c r="F20" s="40"/>
      <c r="G20" s="41">
        <v>8.6537000000000006</v>
      </c>
      <c r="H20" s="41">
        <v>2.3994</v>
      </c>
      <c r="I20" s="133"/>
      <c r="J20" s="40"/>
      <c r="K20" s="40"/>
      <c r="L20" s="40"/>
      <c r="M20" s="41">
        <v>11.053100000000001</v>
      </c>
      <c r="N20" s="50">
        <v>70.898652982681213</v>
      </c>
    </row>
    <row r="21" spans="1:14" s="39" customFormat="1" ht="26.1" customHeight="1">
      <c r="A21" s="42" t="s">
        <v>320</v>
      </c>
      <c r="B21" s="40">
        <v>360</v>
      </c>
      <c r="C21" s="40" t="s">
        <v>66</v>
      </c>
      <c r="D21" s="41">
        <v>18.443483999999998</v>
      </c>
      <c r="E21" s="41">
        <v>3.51</v>
      </c>
      <c r="F21" s="40"/>
      <c r="G21" s="41">
        <v>0</v>
      </c>
      <c r="H21" s="41">
        <v>1.4342999999999999</v>
      </c>
      <c r="I21" s="133"/>
      <c r="J21" s="40"/>
      <c r="K21" s="40"/>
      <c r="L21" s="40"/>
      <c r="M21" s="41">
        <v>1.4342999999999999</v>
      </c>
      <c r="N21" s="50">
        <v>40.863247863247864</v>
      </c>
    </row>
    <row r="22" spans="1:14" s="39" customFormat="1" ht="26.1" customHeight="1">
      <c r="A22" s="42" t="s">
        <v>321</v>
      </c>
      <c r="B22" s="40">
        <v>8.4</v>
      </c>
      <c r="C22" s="40" t="s">
        <v>477</v>
      </c>
      <c r="D22" s="41">
        <v>58.5</v>
      </c>
      <c r="E22" s="41">
        <v>8.5455400000000008</v>
      </c>
      <c r="F22" s="40"/>
      <c r="G22" s="41">
        <v>3.8321200000000002</v>
      </c>
      <c r="H22" s="41">
        <v>4.9533100000000001</v>
      </c>
      <c r="I22" s="133"/>
      <c r="J22" s="40"/>
      <c r="K22" s="40"/>
      <c r="L22" s="40"/>
      <c r="M22" s="41">
        <v>8.7854299999999999</v>
      </c>
      <c r="N22" s="50">
        <v>102.80719533230199</v>
      </c>
    </row>
    <row r="23" spans="1:14" s="39" customFormat="1" ht="26.1" customHeight="1">
      <c r="A23" s="42" t="s">
        <v>246</v>
      </c>
      <c r="B23" s="40">
        <v>0.84</v>
      </c>
      <c r="C23" s="40" t="s">
        <v>477</v>
      </c>
      <c r="D23" s="40">
        <v>5.88</v>
      </c>
      <c r="E23" s="41">
        <v>2.2690000000000001</v>
      </c>
      <c r="F23" s="40"/>
      <c r="G23" s="41">
        <v>1.56</v>
      </c>
      <c r="H23" s="41">
        <v>0.70899999999999996</v>
      </c>
      <c r="I23" s="40"/>
      <c r="J23" s="40"/>
      <c r="K23" s="40"/>
      <c r="L23" s="40"/>
      <c r="M23" s="41">
        <v>2.2690000000000001</v>
      </c>
      <c r="N23" s="50">
        <v>100</v>
      </c>
    </row>
    <row r="24" spans="1:14" s="39" customFormat="1" ht="26.1" customHeight="1">
      <c r="A24" s="42" t="s">
        <v>478</v>
      </c>
      <c r="B24" s="40">
        <v>3.6</v>
      </c>
      <c r="C24" s="40" t="s">
        <v>477</v>
      </c>
      <c r="D24" s="40">
        <v>25.2</v>
      </c>
      <c r="E24" s="41">
        <v>4.3428000000000004</v>
      </c>
      <c r="F24" s="40"/>
      <c r="G24" s="41">
        <v>2.5428000000000002</v>
      </c>
      <c r="H24" s="41">
        <v>2.08</v>
      </c>
      <c r="I24" s="133"/>
      <c r="J24" s="40"/>
      <c r="K24" s="40"/>
      <c r="L24" s="40"/>
      <c r="M24" s="41">
        <v>4.6227999999999998</v>
      </c>
      <c r="N24" s="50">
        <v>106.44745325596388</v>
      </c>
    </row>
    <row r="25" spans="1:14" s="39" customFormat="1" ht="26.1" customHeight="1">
      <c r="A25" s="42" t="s">
        <v>323</v>
      </c>
      <c r="B25" s="40">
        <v>0.24</v>
      </c>
      <c r="C25" s="40" t="s">
        <v>477</v>
      </c>
      <c r="D25" s="41">
        <v>1.68</v>
      </c>
      <c r="E25" s="41">
        <v>0.62</v>
      </c>
      <c r="F25" s="40"/>
      <c r="G25" s="41">
        <v>0.26</v>
      </c>
      <c r="H25" s="41">
        <v>0.24</v>
      </c>
      <c r="I25" s="133"/>
      <c r="J25" s="40"/>
      <c r="K25" s="40"/>
      <c r="L25" s="40"/>
      <c r="M25" s="41">
        <v>0.5</v>
      </c>
      <c r="N25" s="50">
        <v>80.645161290322591</v>
      </c>
    </row>
    <row r="26" spans="1:14" s="39" customFormat="1" ht="26.1" customHeight="1">
      <c r="A26" s="42" t="s">
        <v>306</v>
      </c>
      <c r="B26" s="40">
        <v>0.36</v>
      </c>
      <c r="C26" s="40" t="s">
        <v>477</v>
      </c>
      <c r="D26" s="41">
        <v>2.52</v>
      </c>
      <c r="E26" s="41">
        <v>0.77620999999999996</v>
      </c>
      <c r="F26" s="40"/>
      <c r="G26" s="41">
        <v>0.41621000000000002</v>
      </c>
      <c r="H26" s="41">
        <v>0.36</v>
      </c>
      <c r="I26" s="40"/>
      <c r="J26" s="40"/>
      <c r="K26" s="40"/>
      <c r="L26" s="40"/>
      <c r="M26" s="41">
        <v>0.77621000000000007</v>
      </c>
      <c r="N26" s="50">
        <v>100.00000000000003</v>
      </c>
    </row>
    <row r="27" spans="1:14" s="39" customFormat="1" ht="26.1" customHeight="1">
      <c r="A27" s="42" t="s">
        <v>113</v>
      </c>
      <c r="B27" s="40">
        <v>0.2</v>
      </c>
      <c r="C27" s="40" t="s">
        <v>68</v>
      </c>
      <c r="D27" s="40">
        <v>0.2</v>
      </c>
      <c r="E27" s="41">
        <v>0.2</v>
      </c>
      <c r="F27" s="40"/>
      <c r="G27" s="41">
        <v>0.2</v>
      </c>
      <c r="H27" s="41">
        <v>0</v>
      </c>
      <c r="I27" s="40"/>
      <c r="J27" s="40"/>
      <c r="K27" s="40"/>
      <c r="L27" s="40"/>
      <c r="M27" s="41">
        <v>0.2</v>
      </c>
      <c r="N27" s="50">
        <v>100</v>
      </c>
    </row>
    <row r="28" spans="1:14" ht="18" customHeight="1">
      <c r="A28" s="134" t="s">
        <v>69</v>
      </c>
      <c r="B28" s="37"/>
      <c r="C28" s="37"/>
      <c r="D28" s="38">
        <v>138.039434</v>
      </c>
      <c r="E28" s="38">
        <v>35.853549999999998</v>
      </c>
      <c r="F28" s="38">
        <v>0</v>
      </c>
      <c r="G28" s="38">
        <v>17.464830000000003</v>
      </c>
      <c r="H28" s="38">
        <v>12.17601</v>
      </c>
      <c r="I28" s="38">
        <v>0</v>
      </c>
      <c r="J28" s="38">
        <v>0</v>
      </c>
      <c r="K28" s="38">
        <v>0</v>
      </c>
      <c r="L28" s="38">
        <v>0</v>
      </c>
      <c r="M28" s="38">
        <v>29.640839999999994</v>
      </c>
      <c r="N28" s="51"/>
    </row>
  </sheetData>
  <mergeCells count="20">
    <mergeCell ref="L12:M12"/>
    <mergeCell ref="A18:A19"/>
    <mergeCell ref="B18:B19"/>
    <mergeCell ref="C18:C19"/>
    <mergeCell ref="D18:D19"/>
    <mergeCell ref="E18:E19"/>
    <mergeCell ref="F18:N18"/>
    <mergeCell ref="C10:E10"/>
    <mergeCell ref="A1:N1"/>
    <mergeCell ref="A2:N2"/>
    <mergeCell ref="A3:C3"/>
    <mergeCell ref="B4:E4"/>
    <mergeCell ref="F4:G4"/>
    <mergeCell ref="I4:J4"/>
    <mergeCell ref="L4:M4"/>
    <mergeCell ref="B6:E6"/>
    <mergeCell ref="F6:G6"/>
    <mergeCell ref="H6:K6"/>
    <mergeCell ref="B8:G8"/>
    <mergeCell ref="I8:N8"/>
  </mergeCells>
  <hyperlinks>
    <hyperlink ref="A3" location="'Fact Sheet of VDC'!A1" display="&lt;&lt;Back"/>
  </hyperlinks>
  <printOptions horizontalCentered="1" verticalCentered="1"/>
  <pageMargins left="0.19685039370078741" right="0.19685039370078741" top="0.51181102362204722" bottom="0.51181102362204722" header="0.31496062992125984" footer="0.31496062992125984"/>
  <pageSetup paperSize="9" scale="9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workbookViewId="0">
      <selection activeCell="A3" sqref="A3:C3"/>
    </sheetView>
  </sheetViews>
  <sheetFormatPr defaultRowHeight="12.75"/>
  <cols>
    <col min="1" max="1" width="24.5703125" style="34" customWidth="1"/>
    <col min="2" max="2" width="9" style="36" customWidth="1"/>
    <col min="3" max="3" width="7.42578125" style="36" customWidth="1"/>
    <col min="4" max="4" width="8.85546875" style="36" customWidth="1"/>
    <col min="5" max="5" width="7.5703125" style="36" customWidth="1"/>
    <col min="6" max="6" width="12.140625" style="36" customWidth="1"/>
    <col min="7" max="7" width="10" style="36" customWidth="1"/>
    <col min="8" max="8" width="11.140625" style="36" customWidth="1"/>
    <col min="9" max="9" width="9.5703125" style="36" customWidth="1"/>
    <col min="10" max="10" width="9.140625" style="36"/>
    <col min="11" max="11" width="8.140625" style="36" customWidth="1"/>
    <col min="12" max="12" width="9.7109375" style="36" customWidth="1"/>
    <col min="13" max="13" width="8.7109375" style="36" customWidth="1"/>
    <col min="14" max="14" width="7.140625" style="36" customWidth="1"/>
    <col min="15" max="256" width="9.140625" style="34"/>
    <col min="257" max="257" width="24.5703125" style="34" customWidth="1"/>
    <col min="258" max="258" width="9" style="34" customWidth="1"/>
    <col min="259" max="259" width="7.42578125" style="34" customWidth="1"/>
    <col min="260" max="260" width="8.85546875" style="34" customWidth="1"/>
    <col min="261" max="261" width="7.5703125" style="34" customWidth="1"/>
    <col min="262" max="262" width="12.140625" style="34" customWidth="1"/>
    <col min="263" max="263" width="10" style="34" customWidth="1"/>
    <col min="264" max="264" width="11.140625" style="34" customWidth="1"/>
    <col min="265" max="265" width="9.5703125" style="34" customWidth="1"/>
    <col min="266" max="266" width="9.140625" style="34"/>
    <col min="267" max="267" width="8.140625" style="34" customWidth="1"/>
    <col min="268" max="268" width="9.7109375" style="34" customWidth="1"/>
    <col min="269" max="269" width="8.7109375" style="34" customWidth="1"/>
    <col min="270" max="270" width="7.140625" style="34" customWidth="1"/>
    <col min="271" max="512" width="9.140625" style="34"/>
    <col min="513" max="513" width="24.5703125" style="34" customWidth="1"/>
    <col min="514" max="514" width="9" style="34" customWidth="1"/>
    <col min="515" max="515" width="7.42578125" style="34" customWidth="1"/>
    <col min="516" max="516" width="8.85546875" style="34" customWidth="1"/>
    <col min="517" max="517" width="7.5703125" style="34" customWidth="1"/>
    <col min="518" max="518" width="12.140625" style="34" customWidth="1"/>
    <col min="519" max="519" width="10" style="34" customWidth="1"/>
    <col min="520" max="520" width="11.140625" style="34" customWidth="1"/>
    <col min="521" max="521" width="9.5703125" style="34" customWidth="1"/>
    <col min="522" max="522" width="9.140625" style="34"/>
    <col min="523" max="523" width="8.140625" style="34" customWidth="1"/>
    <col min="524" max="524" width="9.7109375" style="34" customWidth="1"/>
    <col min="525" max="525" width="8.7109375" style="34" customWidth="1"/>
    <col min="526" max="526" width="7.140625" style="34" customWidth="1"/>
    <col min="527" max="768" width="9.140625" style="34"/>
    <col min="769" max="769" width="24.5703125" style="34" customWidth="1"/>
    <col min="770" max="770" width="9" style="34" customWidth="1"/>
    <col min="771" max="771" width="7.42578125" style="34" customWidth="1"/>
    <col min="772" max="772" width="8.85546875" style="34" customWidth="1"/>
    <col min="773" max="773" width="7.5703125" style="34" customWidth="1"/>
    <col min="774" max="774" width="12.140625" style="34" customWidth="1"/>
    <col min="775" max="775" width="10" style="34" customWidth="1"/>
    <col min="776" max="776" width="11.140625" style="34" customWidth="1"/>
    <col min="777" max="777" width="9.5703125" style="34" customWidth="1"/>
    <col min="778" max="778" width="9.140625" style="34"/>
    <col min="779" max="779" width="8.140625" style="34" customWidth="1"/>
    <col min="780" max="780" width="9.7109375" style="34" customWidth="1"/>
    <col min="781" max="781" width="8.7109375" style="34" customWidth="1"/>
    <col min="782" max="782" width="7.140625" style="34" customWidth="1"/>
    <col min="783" max="1024" width="9.140625" style="34"/>
    <col min="1025" max="1025" width="24.5703125" style="34" customWidth="1"/>
    <col min="1026" max="1026" width="9" style="34" customWidth="1"/>
    <col min="1027" max="1027" width="7.42578125" style="34" customWidth="1"/>
    <col min="1028" max="1028" width="8.85546875" style="34" customWidth="1"/>
    <col min="1029" max="1029" width="7.5703125" style="34" customWidth="1"/>
    <col min="1030" max="1030" width="12.140625" style="34" customWidth="1"/>
    <col min="1031" max="1031" width="10" style="34" customWidth="1"/>
    <col min="1032" max="1032" width="11.140625" style="34" customWidth="1"/>
    <col min="1033" max="1033" width="9.5703125" style="34" customWidth="1"/>
    <col min="1034" max="1034" width="9.140625" style="34"/>
    <col min="1035" max="1035" width="8.140625" style="34" customWidth="1"/>
    <col min="1036" max="1036" width="9.7109375" style="34" customWidth="1"/>
    <col min="1037" max="1037" width="8.7109375" style="34" customWidth="1"/>
    <col min="1038" max="1038" width="7.140625" style="34" customWidth="1"/>
    <col min="1039" max="1280" width="9.140625" style="34"/>
    <col min="1281" max="1281" width="24.5703125" style="34" customWidth="1"/>
    <col min="1282" max="1282" width="9" style="34" customWidth="1"/>
    <col min="1283" max="1283" width="7.42578125" style="34" customWidth="1"/>
    <col min="1284" max="1284" width="8.85546875" style="34" customWidth="1"/>
    <col min="1285" max="1285" width="7.5703125" style="34" customWidth="1"/>
    <col min="1286" max="1286" width="12.140625" style="34" customWidth="1"/>
    <col min="1287" max="1287" width="10" style="34" customWidth="1"/>
    <col min="1288" max="1288" width="11.140625" style="34" customWidth="1"/>
    <col min="1289" max="1289" width="9.5703125" style="34" customWidth="1"/>
    <col min="1290" max="1290" width="9.140625" style="34"/>
    <col min="1291" max="1291" width="8.140625" style="34" customWidth="1"/>
    <col min="1292" max="1292" width="9.7109375" style="34" customWidth="1"/>
    <col min="1293" max="1293" width="8.7109375" style="34" customWidth="1"/>
    <col min="1294" max="1294" width="7.140625" style="34" customWidth="1"/>
    <col min="1295" max="1536" width="9.140625" style="34"/>
    <col min="1537" max="1537" width="24.5703125" style="34" customWidth="1"/>
    <col min="1538" max="1538" width="9" style="34" customWidth="1"/>
    <col min="1539" max="1539" width="7.42578125" style="34" customWidth="1"/>
    <col min="1540" max="1540" width="8.85546875" style="34" customWidth="1"/>
    <col min="1541" max="1541" width="7.5703125" style="34" customWidth="1"/>
    <col min="1542" max="1542" width="12.140625" style="34" customWidth="1"/>
    <col min="1543" max="1543" width="10" style="34" customWidth="1"/>
    <col min="1544" max="1544" width="11.140625" style="34" customWidth="1"/>
    <col min="1545" max="1545" width="9.5703125" style="34" customWidth="1"/>
    <col min="1546" max="1546" width="9.140625" style="34"/>
    <col min="1547" max="1547" width="8.140625" style="34" customWidth="1"/>
    <col min="1548" max="1548" width="9.7109375" style="34" customWidth="1"/>
    <col min="1549" max="1549" width="8.7109375" style="34" customWidth="1"/>
    <col min="1550" max="1550" width="7.140625" style="34" customWidth="1"/>
    <col min="1551" max="1792" width="9.140625" style="34"/>
    <col min="1793" max="1793" width="24.5703125" style="34" customWidth="1"/>
    <col min="1794" max="1794" width="9" style="34" customWidth="1"/>
    <col min="1795" max="1795" width="7.42578125" style="34" customWidth="1"/>
    <col min="1796" max="1796" width="8.85546875" style="34" customWidth="1"/>
    <col min="1797" max="1797" width="7.5703125" style="34" customWidth="1"/>
    <col min="1798" max="1798" width="12.140625" style="34" customWidth="1"/>
    <col min="1799" max="1799" width="10" style="34" customWidth="1"/>
    <col min="1800" max="1800" width="11.140625" style="34" customWidth="1"/>
    <col min="1801" max="1801" width="9.5703125" style="34" customWidth="1"/>
    <col min="1802" max="1802" width="9.140625" style="34"/>
    <col min="1803" max="1803" width="8.140625" style="34" customWidth="1"/>
    <col min="1804" max="1804" width="9.7109375" style="34" customWidth="1"/>
    <col min="1805" max="1805" width="8.7109375" style="34" customWidth="1"/>
    <col min="1806" max="1806" width="7.140625" style="34" customWidth="1"/>
    <col min="1807" max="2048" width="9.140625" style="34"/>
    <col min="2049" max="2049" width="24.5703125" style="34" customWidth="1"/>
    <col min="2050" max="2050" width="9" style="34" customWidth="1"/>
    <col min="2051" max="2051" width="7.42578125" style="34" customWidth="1"/>
    <col min="2052" max="2052" width="8.85546875" style="34" customWidth="1"/>
    <col min="2053" max="2053" width="7.5703125" style="34" customWidth="1"/>
    <col min="2054" max="2054" width="12.140625" style="34" customWidth="1"/>
    <col min="2055" max="2055" width="10" style="34" customWidth="1"/>
    <col min="2056" max="2056" width="11.140625" style="34" customWidth="1"/>
    <col min="2057" max="2057" width="9.5703125" style="34" customWidth="1"/>
    <col min="2058" max="2058" width="9.140625" style="34"/>
    <col min="2059" max="2059" width="8.140625" style="34" customWidth="1"/>
    <col min="2060" max="2060" width="9.7109375" style="34" customWidth="1"/>
    <col min="2061" max="2061" width="8.7109375" style="34" customWidth="1"/>
    <col min="2062" max="2062" width="7.140625" style="34" customWidth="1"/>
    <col min="2063" max="2304" width="9.140625" style="34"/>
    <col min="2305" max="2305" width="24.5703125" style="34" customWidth="1"/>
    <col min="2306" max="2306" width="9" style="34" customWidth="1"/>
    <col min="2307" max="2307" width="7.42578125" style="34" customWidth="1"/>
    <col min="2308" max="2308" width="8.85546875" style="34" customWidth="1"/>
    <col min="2309" max="2309" width="7.5703125" style="34" customWidth="1"/>
    <col min="2310" max="2310" width="12.140625" style="34" customWidth="1"/>
    <col min="2311" max="2311" width="10" style="34" customWidth="1"/>
    <col min="2312" max="2312" width="11.140625" style="34" customWidth="1"/>
    <col min="2313" max="2313" width="9.5703125" style="34" customWidth="1"/>
    <col min="2314" max="2314" width="9.140625" style="34"/>
    <col min="2315" max="2315" width="8.140625" style="34" customWidth="1"/>
    <col min="2316" max="2316" width="9.7109375" style="34" customWidth="1"/>
    <col min="2317" max="2317" width="8.7109375" style="34" customWidth="1"/>
    <col min="2318" max="2318" width="7.140625" style="34" customWidth="1"/>
    <col min="2319" max="2560" width="9.140625" style="34"/>
    <col min="2561" max="2561" width="24.5703125" style="34" customWidth="1"/>
    <col min="2562" max="2562" width="9" style="34" customWidth="1"/>
    <col min="2563" max="2563" width="7.42578125" style="34" customWidth="1"/>
    <col min="2564" max="2564" width="8.85546875" style="34" customWidth="1"/>
    <col min="2565" max="2565" width="7.5703125" style="34" customWidth="1"/>
    <col min="2566" max="2566" width="12.140625" style="34" customWidth="1"/>
    <col min="2567" max="2567" width="10" style="34" customWidth="1"/>
    <col min="2568" max="2568" width="11.140625" style="34" customWidth="1"/>
    <col min="2569" max="2569" width="9.5703125" style="34" customWidth="1"/>
    <col min="2570" max="2570" width="9.140625" style="34"/>
    <col min="2571" max="2571" width="8.140625" style="34" customWidth="1"/>
    <col min="2572" max="2572" width="9.7109375" style="34" customWidth="1"/>
    <col min="2573" max="2573" width="8.7109375" style="34" customWidth="1"/>
    <col min="2574" max="2574" width="7.140625" style="34" customWidth="1"/>
    <col min="2575" max="2816" width="9.140625" style="34"/>
    <col min="2817" max="2817" width="24.5703125" style="34" customWidth="1"/>
    <col min="2818" max="2818" width="9" style="34" customWidth="1"/>
    <col min="2819" max="2819" width="7.42578125" style="34" customWidth="1"/>
    <col min="2820" max="2820" width="8.85546875" style="34" customWidth="1"/>
    <col min="2821" max="2821" width="7.5703125" style="34" customWidth="1"/>
    <col min="2822" max="2822" width="12.140625" style="34" customWidth="1"/>
    <col min="2823" max="2823" width="10" style="34" customWidth="1"/>
    <col min="2824" max="2824" width="11.140625" style="34" customWidth="1"/>
    <col min="2825" max="2825" width="9.5703125" style="34" customWidth="1"/>
    <col min="2826" max="2826" width="9.140625" style="34"/>
    <col min="2827" max="2827" width="8.140625" style="34" customWidth="1"/>
    <col min="2828" max="2828" width="9.7109375" style="34" customWidth="1"/>
    <col min="2829" max="2829" width="8.7109375" style="34" customWidth="1"/>
    <col min="2830" max="2830" width="7.140625" style="34" customWidth="1"/>
    <col min="2831" max="3072" width="9.140625" style="34"/>
    <col min="3073" max="3073" width="24.5703125" style="34" customWidth="1"/>
    <col min="3074" max="3074" width="9" style="34" customWidth="1"/>
    <col min="3075" max="3075" width="7.42578125" style="34" customWidth="1"/>
    <col min="3076" max="3076" width="8.85546875" style="34" customWidth="1"/>
    <col min="3077" max="3077" width="7.5703125" style="34" customWidth="1"/>
    <col min="3078" max="3078" width="12.140625" style="34" customWidth="1"/>
    <col min="3079" max="3079" width="10" style="34" customWidth="1"/>
    <col min="3080" max="3080" width="11.140625" style="34" customWidth="1"/>
    <col min="3081" max="3081" width="9.5703125" style="34" customWidth="1"/>
    <col min="3082" max="3082" width="9.140625" style="34"/>
    <col min="3083" max="3083" width="8.140625" style="34" customWidth="1"/>
    <col min="3084" max="3084" width="9.7109375" style="34" customWidth="1"/>
    <col min="3085" max="3085" width="8.7109375" style="34" customWidth="1"/>
    <col min="3086" max="3086" width="7.140625" style="34" customWidth="1"/>
    <col min="3087" max="3328" width="9.140625" style="34"/>
    <col min="3329" max="3329" width="24.5703125" style="34" customWidth="1"/>
    <col min="3330" max="3330" width="9" style="34" customWidth="1"/>
    <col min="3331" max="3331" width="7.42578125" style="34" customWidth="1"/>
    <col min="3332" max="3332" width="8.85546875" style="34" customWidth="1"/>
    <col min="3333" max="3333" width="7.5703125" style="34" customWidth="1"/>
    <col min="3334" max="3334" width="12.140625" style="34" customWidth="1"/>
    <col min="3335" max="3335" width="10" style="34" customWidth="1"/>
    <col min="3336" max="3336" width="11.140625" style="34" customWidth="1"/>
    <col min="3337" max="3337" width="9.5703125" style="34" customWidth="1"/>
    <col min="3338" max="3338" width="9.140625" style="34"/>
    <col min="3339" max="3339" width="8.140625" style="34" customWidth="1"/>
    <col min="3340" max="3340" width="9.7109375" style="34" customWidth="1"/>
    <col min="3341" max="3341" width="8.7109375" style="34" customWidth="1"/>
    <col min="3342" max="3342" width="7.140625" style="34" customWidth="1"/>
    <col min="3343" max="3584" width="9.140625" style="34"/>
    <col min="3585" max="3585" width="24.5703125" style="34" customWidth="1"/>
    <col min="3586" max="3586" width="9" style="34" customWidth="1"/>
    <col min="3587" max="3587" width="7.42578125" style="34" customWidth="1"/>
    <col min="3588" max="3588" width="8.85546875" style="34" customWidth="1"/>
    <col min="3589" max="3589" width="7.5703125" style="34" customWidth="1"/>
    <col min="3590" max="3590" width="12.140625" style="34" customWidth="1"/>
    <col min="3591" max="3591" width="10" style="34" customWidth="1"/>
    <col min="3592" max="3592" width="11.140625" style="34" customWidth="1"/>
    <col min="3593" max="3593" width="9.5703125" style="34" customWidth="1"/>
    <col min="3594" max="3594" width="9.140625" style="34"/>
    <col min="3595" max="3595" width="8.140625" style="34" customWidth="1"/>
    <col min="3596" max="3596" width="9.7109375" style="34" customWidth="1"/>
    <col min="3597" max="3597" width="8.7109375" style="34" customWidth="1"/>
    <col min="3598" max="3598" width="7.140625" style="34" customWidth="1"/>
    <col min="3599" max="3840" width="9.140625" style="34"/>
    <col min="3841" max="3841" width="24.5703125" style="34" customWidth="1"/>
    <col min="3842" max="3842" width="9" style="34" customWidth="1"/>
    <col min="3843" max="3843" width="7.42578125" style="34" customWidth="1"/>
    <col min="3844" max="3844" width="8.85546875" style="34" customWidth="1"/>
    <col min="3845" max="3845" width="7.5703125" style="34" customWidth="1"/>
    <col min="3846" max="3846" width="12.140625" style="34" customWidth="1"/>
    <col min="3847" max="3847" width="10" style="34" customWidth="1"/>
    <col min="3848" max="3848" width="11.140625" style="34" customWidth="1"/>
    <col min="3849" max="3849" width="9.5703125" style="34" customWidth="1"/>
    <col min="3850" max="3850" width="9.140625" style="34"/>
    <col min="3851" max="3851" width="8.140625" style="34" customWidth="1"/>
    <col min="3852" max="3852" width="9.7109375" style="34" customWidth="1"/>
    <col min="3853" max="3853" width="8.7109375" style="34" customWidth="1"/>
    <col min="3854" max="3854" width="7.140625" style="34" customWidth="1"/>
    <col min="3855" max="4096" width="9.140625" style="34"/>
    <col min="4097" max="4097" width="24.5703125" style="34" customWidth="1"/>
    <col min="4098" max="4098" width="9" style="34" customWidth="1"/>
    <col min="4099" max="4099" width="7.42578125" style="34" customWidth="1"/>
    <col min="4100" max="4100" width="8.85546875" style="34" customWidth="1"/>
    <col min="4101" max="4101" width="7.5703125" style="34" customWidth="1"/>
    <col min="4102" max="4102" width="12.140625" style="34" customWidth="1"/>
    <col min="4103" max="4103" width="10" style="34" customWidth="1"/>
    <col min="4104" max="4104" width="11.140625" style="34" customWidth="1"/>
    <col min="4105" max="4105" width="9.5703125" style="34" customWidth="1"/>
    <col min="4106" max="4106" width="9.140625" style="34"/>
    <col min="4107" max="4107" width="8.140625" style="34" customWidth="1"/>
    <col min="4108" max="4108" width="9.7109375" style="34" customWidth="1"/>
    <col min="4109" max="4109" width="8.7109375" style="34" customWidth="1"/>
    <col min="4110" max="4110" width="7.140625" style="34" customWidth="1"/>
    <col min="4111" max="4352" width="9.140625" style="34"/>
    <col min="4353" max="4353" width="24.5703125" style="34" customWidth="1"/>
    <col min="4354" max="4354" width="9" style="34" customWidth="1"/>
    <col min="4355" max="4355" width="7.42578125" style="34" customWidth="1"/>
    <col min="4356" max="4356" width="8.85546875" style="34" customWidth="1"/>
    <col min="4357" max="4357" width="7.5703125" style="34" customWidth="1"/>
    <col min="4358" max="4358" width="12.140625" style="34" customWidth="1"/>
    <col min="4359" max="4359" width="10" style="34" customWidth="1"/>
    <col min="4360" max="4360" width="11.140625" style="34" customWidth="1"/>
    <col min="4361" max="4361" width="9.5703125" style="34" customWidth="1"/>
    <col min="4362" max="4362" width="9.140625" style="34"/>
    <col min="4363" max="4363" width="8.140625" style="34" customWidth="1"/>
    <col min="4364" max="4364" width="9.7109375" style="34" customWidth="1"/>
    <col min="4365" max="4365" width="8.7109375" style="34" customWidth="1"/>
    <col min="4366" max="4366" width="7.140625" style="34" customWidth="1"/>
    <col min="4367" max="4608" width="9.140625" style="34"/>
    <col min="4609" max="4609" width="24.5703125" style="34" customWidth="1"/>
    <col min="4610" max="4610" width="9" style="34" customWidth="1"/>
    <col min="4611" max="4611" width="7.42578125" style="34" customWidth="1"/>
    <col min="4612" max="4612" width="8.85546875" style="34" customWidth="1"/>
    <col min="4613" max="4613" width="7.5703125" style="34" customWidth="1"/>
    <col min="4614" max="4614" width="12.140625" style="34" customWidth="1"/>
    <col min="4615" max="4615" width="10" style="34" customWidth="1"/>
    <col min="4616" max="4616" width="11.140625" style="34" customWidth="1"/>
    <col min="4617" max="4617" width="9.5703125" style="34" customWidth="1"/>
    <col min="4618" max="4618" width="9.140625" style="34"/>
    <col min="4619" max="4619" width="8.140625" style="34" customWidth="1"/>
    <col min="4620" max="4620" width="9.7109375" style="34" customWidth="1"/>
    <col min="4621" max="4621" width="8.7109375" style="34" customWidth="1"/>
    <col min="4622" max="4622" width="7.140625" style="34" customWidth="1"/>
    <col min="4623" max="4864" width="9.140625" style="34"/>
    <col min="4865" max="4865" width="24.5703125" style="34" customWidth="1"/>
    <col min="4866" max="4866" width="9" style="34" customWidth="1"/>
    <col min="4867" max="4867" width="7.42578125" style="34" customWidth="1"/>
    <col min="4868" max="4868" width="8.85546875" style="34" customWidth="1"/>
    <col min="4869" max="4869" width="7.5703125" style="34" customWidth="1"/>
    <col min="4870" max="4870" width="12.140625" style="34" customWidth="1"/>
    <col min="4871" max="4871" width="10" style="34" customWidth="1"/>
    <col min="4872" max="4872" width="11.140625" style="34" customWidth="1"/>
    <col min="4873" max="4873" width="9.5703125" style="34" customWidth="1"/>
    <col min="4874" max="4874" width="9.140625" style="34"/>
    <col min="4875" max="4875" width="8.140625" style="34" customWidth="1"/>
    <col min="4876" max="4876" width="9.7109375" style="34" customWidth="1"/>
    <col min="4877" max="4877" width="8.7109375" style="34" customWidth="1"/>
    <col min="4878" max="4878" width="7.140625" style="34" customWidth="1"/>
    <col min="4879" max="5120" width="9.140625" style="34"/>
    <col min="5121" max="5121" width="24.5703125" style="34" customWidth="1"/>
    <col min="5122" max="5122" width="9" style="34" customWidth="1"/>
    <col min="5123" max="5123" width="7.42578125" style="34" customWidth="1"/>
    <col min="5124" max="5124" width="8.85546875" style="34" customWidth="1"/>
    <col min="5125" max="5125" width="7.5703125" style="34" customWidth="1"/>
    <col min="5126" max="5126" width="12.140625" style="34" customWidth="1"/>
    <col min="5127" max="5127" width="10" style="34" customWidth="1"/>
    <col min="5128" max="5128" width="11.140625" style="34" customWidth="1"/>
    <col min="5129" max="5129" width="9.5703125" style="34" customWidth="1"/>
    <col min="5130" max="5130" width="9.140625" style="34"/>
    <col min="5131" max="5131" width="8.140625" style="34" customWidth="1"/>
    <col min="5132" max="5132" width="9.7109375" style="34" customWidth="1"/>
    <col min="5133" max="5133" width="8.7109375" style="34" customWidth="1"/>
    <col min="5134" max="5134" width="7.140625" style="34" customWidth="1"/>
    <col min="5135" max="5376" width="9.140625" style="34"/>
    <col min="5377" max="5377" width="24.5703125" style="34" customWidth="1"/>
    <col min="5378" max="5378" width="9" style="34" customWidth="1"/>
    <col min="5379" max="5379" width="7.42578125" style="34" customWidth="1"/>
    <col min="5380" max="5380" width="8.85546875" style="34" customWidth="1"/>
    <col min="5381" max="5381" width="7.5703125" style="34" customWidth="1"/>
    <col min="5382" max="5382" width="12.140625" style="34" customWidth="1"/>
    <col min="5383" max="5383" width="10" style="34" customWidth="1"/>
    <col min="5384" max="5384" width="11.140625" style="34" customWidth="1"/>
    <col min="5385" max="5385" width="9.5703125" style="34" customWidth="1"/>
    <col min="5386" max="5386" width="9.140625" style="34"/>
    <col min="5387" max="5387" width="8.140625" style="34" customWidth="1"/>
    <col min="5388" max="5388" width="9.7109375" style="34" customWidth="1"/>
    <col min="5389" max="5389" width="8.7109375" style="34" customWidth="1"/>
    <col min="5390" max="5390" width="7.140625" style="34" customWidth="1"/>
    <col min="5391" max="5632" width="9.140625" style="34"/>
    <col min="5633" max="5633" width="24.5703125" style="34" customWidth="1"/>
    <col min="5634" max="5634" width="9" style="34" customWidth="1"/>
    <col min="5635" max="5635" width="7.42578125" style="34" customWidth="1"/>
    <col min="5636" max="5636" width="8.85546875" style="34" customWidth="1"/>
    <col min="5637" max="5637" width="7.5703125" style="34" customWidth="1"/>
    <col min="5638" max="5638" width="12.140625" style="34" customWidth="1"/>
    <col min="5639" max="5639" width="10" style="34" customWidth="1"/>
    <col min="5640" max="5640" width="11.140625" style="34" customWidth="1"/>
    <col min="5641" max="5641" width="9.5703125" style="34" customWidth="1"/>
    <col min="5642" max="5642" width="9.140625" style="34"/>
    <col min="5643" max="5643" width="8.140625" style="34" customWidth="1"/>
    <col min="5644" max="5644" width="9.7109375" style="34" customWidth="1"/>
    <col min="5645" max="5645" width="8.7109375" style="34" customWidth="1"/>
    <col min="5646" max="5646" width="7.140625" style="34" customWidth="1"/>
    <col min="5647" max="5888" width="9.140625" style="34"/>
    <col min="5889" max="5889" width="24.5703125" style="34" customWidth="1"/>
    <col min="5890" max="5890" width="9" style="34" customWidth="1"/>
    <col min="5891" max="5891" width="7.42578125" style="34" customWidth="1"/>
    <col min="5892" max="5892" width="8.85546875" style="34" customWidth="1"/>
    <col min="5893" max="5893" width="7.5703125" style="34" customWidth="1"/>
    <col min="5894" max="5894" width="12.140625" style="34" customWidth="1"/>
    <col min="5895" max="5895" width="10" style="34" customWidth="1"/>
    <col min="5896" max="5896" width="11.140625" style="34" customWidth="1"/>
    <col min="5897" max="5897" width="9.5703125" style="34" customWidth="1"/>
    <col min="5898" max="5898" width="9.140625" style="34"/>
    <col min="5899" max="5899" width="8.140625" style="34" customWidth="1"/>
    <col min="5900" max="5900" width="9.7109375" style="34" customWidth="1"/>
    <col min="5901" max="5901" width="8.7109375" style="34" customWidth="1"/>
    <col min="5902" max="5902" width="7.140625" style="34" customWidth="1"/>
    <col min="5903" max="6144" width="9.140625" style="34"/>
    <col min="6145" max="6145" width="24.5703125" style="34" customWidth="1"/>
    <col min="6146" max="6146" width="9" style="34" customWidth="1"/>
    <col min="6147" max="6147" width="7.42578125" style="34" customWidth="1"/>
    <col min="6148" max="6148" width="8.85546875" style="34" customWidth="1"/>
    <col min="6149" max="6149" width="7.5703125" style="34" customWidth="1"/>
    <col min="6150" max="6150" width="12.140625" style="34" customWidth="1"/>
    <col min="6151" max="6151" width="10" style="34" customWidth="1"/>
    <col min="6152" max="6152" width="11.140625" style="34" customWidth="1"/>
    <col min="6153" max="6153" width="9.5703125" style="34" customWidth="1"/>
    <col min="6154" max="6154" width="9.140625" style="34"/>
    <col min="6155" max="6155" width="8.140625" style="34" customWidth="1"/>
    <col min="6156" max="6156" width="9.7109375" style="34" customWidth="1"/>
    <col min="6157" max="6157" width="8.7109375" style="34" customWidth="1"/>
    <col min="6158" max="6158" width="7.140625" style="34" customWidth="1"/>
    <col min="6159" max="6400" width="9.140625" style="34"/>
    <col min="6401" max="6401" width="24.5703125" style="34" customWidth="1"/>
    <col min="6402" max="6402" width="9" style="34" customWidth="1"/>
    <col min="6403" max="6403" width="7.42578125" style="34" customWidth="1"/>
    <col min="6404" max="6404" width="8.85546875" style="34" customWidth="1"/>
    <col min="6405" max="6405" width="7.5703125" style="34" customWidth="1"/>
    <col min="6406" max="6406" width="12.140625" style="34" customWidth="1"/>
    <col min="6407" max="6407" width="10" style="34" customWidth="1"/>
    <col min="6408" max="6408" width="11.140625" style="34" customWidth="1"/>
    <col min="6409" max="6409" width="9.5703125" style="34" customWidth="1"/>
    <col min="6410" max="6410" width="9.140625" style="34"/>
    <col min="6411" max="6411" width="8.140625" style="34" customWidth="1"/>
    <col min="6412" max="6412" width="9.7109375" style="34" customWidth="1"/>
    <col min="6413" max="6413" width="8.7109375" style="34" customWidth="1"/>
    <col min="6414" max="6414" width="7.140625" style="34" customWidth="1"/>
    <col min="6415" max="6656" width="9.140625" style="34"/>
    <col min="6657" max="6657" width="24.5703125" style="34" customWidth="1"/>
    <col min="6658" max="6658" width="9" style="34" customWidth="1"/>
    <col min="6659" max="6659" width="7.42578125" style="34" customWidth="1"/>
    <col min="6660" max="6660" width="8.85546875" style="34" customWidth="1"/>
    <col min="6661" max="6661" width="7.5703125" style="34" customWidth="1"/>
    <col min="6662" max="6662" width="12.140625" style="34" customWidth="1"/>
    <col min="6663" max="6663" width="10" style="34" customWidth="1"/>
    <col min="6664" max="6664" width="11.140625" style="34" customWidth="1"/>
    <col min="6665" max="6665" width="9.5703125" style="34" customWidth="1"/>
    <col min="6666" max="6666" width="9.140625" style="34"/>
    <col min="6667" max="6667" width="8.140625" style="34" customWidth="1"/>
    <col min="6668" max="6668" width="9.7109375" style="34" customWidth="1"/>
    <col min="6669" max="6669" width="8.7109375" style="34" customWidth="1"/>
    <col min="6670" max="6670" width="7.140625" style="34" customWidth="1"/>
    <col min="6671" max="6912" width="9.140625" style="34"/>
    <col min="6913" max="6913" width="24.5703125" style="34" customWidth="1"/>
    <col min="6914" max="6914" width="9" style="34" customWidth="1"/>
    <col min="6915" max="6915" width="7.42578125" style="34" customWidth="1"/>
    <col min="6916" max="6916" width="8.85546875" style="34" customWidth="1"/>
    <col min="6917" max="6917" width="7.5703125" style="34" customWidth="1"/>
    <col min="6918" max="6918" width="12.140625" style="34" customWidth="1"/>
    <col min="6919" max="6919" width="10" style="34" customWidth="1"/>
    <col min="6920" max="6920" width="11.140625" style="34" customWidth="1"/>
    <col min="6921" max="6921" width="9.5703125" style="34" customWidth="1"/>
    <col min="6922" max="6922" width="9.140625" style="34"/>
    <col min="6923" max="6923" width="8.140625" style="34" customWidth="1"/>
    <col min="6924" max="6924" width="9.7109375" style="34" customWidth="1"/>
    <col min="6925" max="6925" width="8.7109375" style="34" customWidth="1"/>
    <col min="6926" max="6926" width="7.140625" style="34" customWidth="1"/>
    <col min="6927" max="7168" width="9.140625" style="34"/>
    <col min="7169" max="7169" width="24.5703125" style="34" customWidth="1"/>
    <col min="7170" max="7170" width="9" style="34" customWidth="1"/>
    <col min="7171" max="7171" width="7.42578125" style="34" customWidth="1"/>
    <col min="7172" max="7172" width="8.85546875" style="34" customWidth="1"/>
    <col min="7173" max="7173" width="7.5703125" style="34" customWidth="1"/>
    <col min="7174" max="7174" width="12.140625" style="34" customWidth="1"/>
    <col min="7175" max="7175" width="10" style="34" customWidth="1"/>
    <col min="7176" max="7176" width="11.140625" style="34" customWidth="1"/>
    <col min="7177" max="7177" width="9.5703125" style="34" customWidth="1"/>
    <col min="7178" max="7178" width="9.140625" style="34"/>
    <col min="7179" max="7179" width="8.140625" style="34" customWidth="1"/>
    <col min="7180" max="7180" width="9.7109375" style="34" customWidth="1"/>
    <col min="7181" max="7181" width="8.7109375" style="34" customWidth="1"/>
    <col min="7182" max="7182" width="7.140625" style="34" customWidth="1"/>
    <col min="7183" max="7424" width="9.140625" style="34"/>
    <col min="7425" max="7425" width="24.5703125" style="34" customWidth="1"/>
    <col min="7426" max="7426" width="9" style="34" customWidth="1"/>
    <col min="7427" max="7427" width="7.42578125" style="34" customWidth="1"/>
    <col min="7428" max="7428" width="8.85546875" style="34" customWidth="1"/>
    <col min="7429" max="7429" width="7.5703125" style="34" customWidth="1"/>
    <col min="7430" max="7430" width="12.140625" style="34" customWidth="1"/>
    <col min="7431" max="7431" width="10" style="34" customWidth="1"/>
    <col min="7432" max="7432" width="11.140625" style="34" customWidth="1"/>
    <col min="7433" max="7433" width="9.5703125" style="34" customWidth="1"/>
    <col min="7434" max="7434" width="9.140625" style="34"/>
    <col min="7435" max="7435" width="8.140625" style="34" customWidth="1"/>
    <col min="7436" max="7436" width="9.7109375" style="34" customWidth="1"/>
    <col min="7437" max="7437" width="8.7109375" style="34" customWidth="1"/>
    <col min="7438" max="7438" width="7.140625" style="34" customWidth="1"/>
    <col min="7439" max="7680" width="9.140625" style="34"/>
    <col min="7681" max="7681" width="24.5703125" style="34" customWidth="1"/>
    <col min="7682" max="7682" width="9" style="34" customWidth="1"/>
    <col min="7683" max="7683" width="7.42578125" style="34" customWidth="1"/>
    <col min="7684" max="7684" width="8.85546875" style="34" customWidth="1"/>
    <col min="7685" max="7685" width="7.5703125" style="34" customWidth="1"/>
    <col min="7686" max="7686" width="12.140625" style="34" customWidth="1"/>
    <col min="7687" max="7687" width="10" style="34" customWidth="1"/>
    <col min="7688" max="7688" width="11.140625" style="34" customWidth="1"/>
    <col min="7689" max="7689" width="9.5703125" style="34" customWidth="1"/>
    <col min="7690" max="7690" width="9.140625" style="34"/>
    <col min="7691" max="7691" width="8.140625" style="34" customWidth="1"/>
    <col min="7692" max="7692" width="9.7109375" style="34" customWidth="1"/>
    <col min="7693" max="7693" width="8.7109375" style="34" customWidth="1"/>
    <col min="7694" max="7694" width="7.140625" style="34" customWidth="1"/>
    <col min="7695" max="7936" width="9.140625" style="34"/>
    <col min="7937" max="7937" width="24.5703125" style="34" customWidth="1"/>
    <col min="7938" max="7938" width="9" style="34" customWidth="1"/>
    <col min="7939" max="7939" width="7.42578125" style="34" customWidth="1"/>
    <col min="7940" max="7940" width="8.85546875" style="34" customWidth="1"/>
    <col min="7941" max="7941" width="7.5703125" style="34" customWidth="1"/>
    <col min="7942" max="7942" width="12.140625" style="34" customWidth="1"/>
    <col min="7943" max="7943" width="10" style="34" customWidth="1"/>
    <col min="7944" max="7944" width="11.140625" style="34" customWidth="1"/>
    <col min="7945" max="7945" width="9.5703125" style="34" customWidth="1"/>
    <col min="7946" max="7946" width="9.140625" style="34"/>
    <col min="7947" max="7947" width="8.140625" style="34" customWidth="1"/>
    <col min="7948" max="7948" width="9.7109375" style="34" customWidth="1"/>
    <col min="7949" max="7949" width="8.7109375" style="34" customWidth="1"/>
    <col min="7950" max="7950" width="7.140625" style="34" customWidth="1"/>
    <col min="7951" max="8192" width="9.140625" style="34"/>
    <col min="8193" max="8193" width="24.5703125" style="34" customWidth="1"/>
    <col min="8194" max="8194" width="9" style="34" customWidth="1"/>
    <col min="8195" max="8195" width="7.42578125" style="34" customWidth="1"/>
    <col min="8196" max="8196" width="8.85546875" style="34" customWidth="1"/>
    <col min="8197" max="8197" width="7.5703125" style="34" customWidth="1"/>
    <col min="8198" max="8198" width="12.140625" style="34" customWidth="1"/>
    <col min="8199" max="8199" width="10" style="34" customWidth="1"/>
    <col min="8200" max="8200" width="11.140625" style="34" customWidth="1"/>
    <col min="8201" max="8201" width="9.5703125" style="34" customWidth="1"/>
    <col min="8202" max="8202" width="9.140625" style="34"/>
    <col min="8203" max="8203" width="8.140625" style="34" customWidth="1"/>
    <col min="8204" max="8204" width="9.7109375" style="34" customWidth="1"/>
    <col min="8205" max="8205" width="8.7109375" style="34" customWidth="1"/>
    <col min="8206" max="8206" width="7.140625" style="34" customWidth="1"/>
    <col min="8207" max="8448" width="9.140625" style="34"/>
    <col min="8449" max="8449" width="24.5703125" style="34" customWidth="1"/>
    <col min="8450" max="8450" width="9" style="34" customWidth="1"/>
    <col min="8451" max="8451" width="7.42578125" style="34" customWidth="1"/>
    <col min="8452" max="8452" width="8.85546875" style="34" customWidth="1"/>
    <col min="8453" max="8453" width="7.5703125" style="34" customWidth="1"/>
    <col min="8454" max="8454" width="12.140625" style="34" customWidth="1"/>
    <col min="8455" max="8455" width="10" style="34" customWidth="1"/>
    <col min="8456" max="8456" width="11.140625" style="34" customWidth="1"/>
    <col min="8457" max="8457" width="9.5703125" style="34" customWidth="1"/>
    <col min="8458" max="8458" width="9.140625" style="34"/>
    <col min="8459" max="8459" width="8.140625" style="34" customWidth="1"/>
    <col min="8460" max="8460" width="9.7109375" style="34" customWidth="1"/>
    <col min="8461" max="8461" width="8.7109375" style="34" customWidth="1"/>
    <col min="8462" max="8462" width="7.140625" style="34" customWidth="1"/>
    <col min="8463" max="8704" width="9.140625" style="34"/>
    <col min="8705" max="8705" width="24.5703125" style="34" customWidth="1"/>
    <col min="8706" max="8706" width="9" style="34" customWidth="1"/>
    <col min="8707" max="8707" width="7.42578125" style="34" customWidth="1"/>
    <col min="8708" max="8708" width="8.85546875" style="34" customWidth="1"/>
    <col min="8709" max="8709" width="7.5703125" style="34" customWidth="1"/>
    <col min="8710" max="8710" width="12.140625" style="34" customWidth="1"/>
    <col min="8711" max="8711" width="10" style="34" customWidth="1"/>
    <col min="8712" max="8712" width="11.140625" style="34" customWidth="1"/>
    <col min="8713" max="8713" width="9.5703125" style="34" customWidth="1"/>
    <col min="8714" max="8714" width="9.140625" style="34"/>
    <col min="8715" max="8715" width="8.140625" style="34" customWidth="1"/>
    <col min="8716" max="8716" width="9.7109375" style="34" customWidth="1"/>
    <col min="8717" max="8717" width="8.7109375" style="34" customWidth="1"/>
    <col min="8718" max="8718" width="7.140625" style="34" customWidth="1"/>
    <col min="8719" max="8960" width="9.140625" style="34"/>
    <col min="8961" max="8961" width="24.5703125" style="34" customWidth="1"/>
    <col min="8962" max="8962" width="9" style="34" customWidth="1"/>
    <col min="8963" max="8963" width="7.42578125" style="34" customWidth="1"/>
    <col min="8964" max="8964" width="8.85546875" style="34" customWidth="1"/>
    <col min="8965" max="8965" width="7.5703125" style="34" customWidth="1"/>
    <col min="8966" max="8966" width="12.140625" style="34" customWidth="1"/>
    <col min="8967" max="8967" width="10" style="34" customWidth="1"/>
    <col min="8968" max="8968" width="11.140625" style="34" customWidth="1"/>
    <col min="8969" max="8969" width="9.5703125" style="34" customWidth="1"/>
    <col min="8970" max="8970" width="9.140625" style="34"/>
    <col min="8971" max="8971" width="8.140625" style="34" customWidth="1"/>
    <col min="8972" max="8972" width="9.7109375" style="34" customWidth="1"/>
    <col min="8973" max="8973" width="8.7109375" style="34" customWidth="1"/>
    <col min="8974" max="8974" width="7.140625" style="34" customWidth="1"/>
    <col min="8975" max="9216" width="9.140625" style="34"/>
    <col min="9217" max="9217" width="24.5703125" style="34" customWidth="1"/>
    <col min="9218" max="9218" width="9" style="34" customWidth="1"/>
    <col min="9219" max="9219" width="7.42578125" style="34" customWidth="1"/>
    <col min="9220" max="9220" width="8.85546875" style="34" customWidth="1"/>
    <col min="9221" max="9221" width="7.5703125" style="34" customWidth="1"/>
    <col min="9222" max="9222" width="12.140625" style="34" customWidth="1"/>
    <col min="9223" max="9223" width="10" style="34" customWidth="1"/>
    <col min="9224" max="9224" width="11.140625" style="34" customWidth="1"/>
    <col min="9225" max="9225" width="9.5703125" style="34" customWidth="1"/>
    <col min="9226" max="9226" width="9.140625" style="34"/>
    <col min="9227" max="9227" width="8.140625" style="34" customWidth="1"/>
    <col min="9228" max="9228" width="9.7109375" style="34" customWidth="1"/>
    <col min="9229" max="9229" width="8.7109375" style="34" customWidth="1"/>
    <col min="9230" max="9230" width="7.140625" style="34" customWidth="1"/>
    <col min="9231" max="9472" width="9.140625" style="34"/>
    <col min="9473" max="9473" width="24.5703125" style="34" customWidth="1"/>
    <col min="9474" max="9474" width="9" style="34" customWidth="1"/>
    <col min="9475" max="9475" width="7.42578125" style="34" customWidth="1"/>
    <col min="9476" max="9476" width="8.85546875" style="34" customWidth="1"/>
    <col min="9477" max="9477" width="7.5703125" style="34" customWidth="1"/>
    <col min="9478" max="9478" width="12.140625" style="34" customWidth="1"/>
    <col min="9479" max="9479" width="10" style="34" customWidth="1"/>
    <col min="9480" max="9480" width="11.140625" style="34" customWidth="1"/>
    <col min="9481" max="9481" width="9.5703125" style="34" customWidth="1"/>
    <col min="9482" max="9482" width="9.140625" style="34"/>
    <col min="9483" max="9483" width="8.140625" style="34" customWidth="1"/>
    <col min="9484" max="9484" width="9.7109375" style="34" customWidth="1"/>
    <col min="9485" max="9485" width="8.7109375" style="34" customWidth="1"/>
    <col min="9486" max="9486" width="7.140625" style="34" customWidth="1"/>
    <col min="9487" max="9728" width="9.140625" style="34"/>
    <col min="9729" max="9729" width="24.5703125" style="34" customWidth="1"/>
    <col min="9730" max="9730" width="9" style="34" customWidth="1"/>
    <col min="9731" max="9731" width="7.42578125" style="34" customWidth="1"/>
    <col min="9732" max="9732" width="8.85546875" style="34" customWidth="1"/>
    <col min="9733" max="9733" width="7.5703125" style="34" customWidth="1"/>
    <col min="9734" max="9734" width="12.140625" style="34" customWidth="1"/>
    <col min="9735" max="9735" width="10" style="34" customWidth="1"/>
    <col min="9736" max="9736" width="11.140625" style="34" customWidth="1"/>
    <col min="9737" max="9737" width="9.5703125" style="34" customWidth="1"/>
    <col min="9738" max="9738" width="9.140625" style="34"/>
    <col min="9739" max="9739" width="8.140625" style="34" customWidth="1"/>
    <col min="9740" max="9740" width="9.7109375" style="34" customWidth="1"/>
    <col min="9741" max="9741" width="8.7109375" style="34" customWidth="1"/>
    <col min="9742" max="9742" width="7.140625" style="34" customWidth="1"/>
    <col min="9743" max="9984" width="9.140625" style="34"/>
    <col min="9985" max="9985" width="24.5703125" style="34" customWidth="1"/>
    <col min="9986" max="9986" width="9" style="34" customWidth="1"/>
    <col min="9987" max="9987" width="7.42578125" style="34" customWidth="1"/>
    <col min="9988" max="9988" width="8.85546875" style="34" customWidth="1"/>
    <col min="9989" max="9989" width="7.5703125" style="34" customWidth="1"/>
    <col min="9990" max="9990" width="12.140625" style="34" customWidth="1"/>
    <col min="9991" max="9991" width="10" style="34" customWidth="1"/>
    <col min="9992" max="9992" width="11.140625" style="34" customWidth="1"/>
    <col min="9993" max="9993" width="9.5703125" style="34" customWidth="1"/>
    <col min="9994" max="9994" width="9.140625" style="34"/>
    <col min="9995" max="9995" width="8.140625" style="34" customWidth="1"/>
    <col min="9996" max="9996" width="9.7109375" style="34" customWidth="1"/>
    <col min="9997" max="9997" width="8.7109375" style="34" customWidth="1"/>
    <col min="9998" max="9998" width="7.140625" style="34" customWidth="1"/>
    <col min="9999" max="10240" width="9.140625" style="34"/>
    <col min="10241" max="10241" width="24.5703125" style="34" customWidth="1"/>
    <col min="10242" max="10242" width="9" style="34" customWidth="1"/>
    <col min="10243" max="10243" width="7.42578125" style="34" customWidth="1"/>
    <col min="10244" max="10244" width="8.85546875" style="34" customWidth="1"/>
    <col min="10245" max="10245" width="7.5703125" style="34" customWidth="1"/>
    <col min="10246" max="10246" width="12.140625" style="34" customWidth="1"/>
    <col min="10247" max="10247" width="10" style="34" customWidth="1"/>
    <col min="10248" max="10248" width="11.140625" style="34" customWidth="1"/>
    <col min="10249" max="10249" width="9.5703125" style="34" customWidth="1"/>
    <col min="10250" max="10250" width="9.140625" style="34"/>
    <col min="10251" max="10251" width="8.140625" style="34" customWidth="1"/>
    <col min="10252" max="10252" width="9.7109375" style="34" customWidth="1"/>
    <col min="10253" max="10253" width="8.7109375" style="34" customWidth="1"/>
    <col min="10254" max="10254" width="7.140625" style="34" customWidth="1"/>
    <col min="10255" max="10496" width="9.140625" style="34"/>
    <col min="10497" max="10497" width="24.5703125" style="34" customWidth="1"/>
    <col min="10498" max="10498" width="9" style="34" customWidth="1"/>
    <col min="10499" max="10499" width="7.42578125" style="34" customWidth="1"/>
    <col min="10500" max="10500" width="8.85546875" style="34" customWidth="1"/>
    <col min="10501" max="10501" width="7.5703125" style="34" customWidth="1"/>
    <col min="10502" max="10502" width="12.140625" style="34" customWidth="1"/>
    <col min="10503" max="10503" width="10" style="34" customWidth="1"/>
    <col min="10504" max="10504" width="11.140625" style="34" customWidth="1"/>
    <col min="10505" max="10505" width="9.5703125" style="34" customWidth="1"/>
    <col min="10506" max="10506" width="9.140625" style="34"/>
    <col min="10507" max="10507" width="8.140625" style="34" customWidth="1"/>
    <col min="10508" max="10508" width="9.7109375" style="34" customWidth="1"/>
    <col min="10509" max="10509" width="8.7109375" style="34" customWidth="1"/>
    <col min="10510" max="10510" width="7.140625" style="34" customWidth="1"/>
    <col min="10511" max="10752" width="9.140625" style="34"/>
    <col min="10753" max="10753" width="24.5703125" style="34" customWidth="1"/>
    <col min="10754" max="10754" width="9" style="34" customWidth="1"/>
    <col min="10755" max="10755" width="7.42578125" style="34" customWidth="1"/>
    <col min="10756" max="10756" width="8.85546875" style="34" customWidth="1"/>
    <col min="10757" max="10757" width="7.5703125" style="34" customWidth="1"/>
    <col min="10758" max="10758" width="12.140625" style="34" customWidth="1"/>
    <col min="10759" max="10759" width="10" style="34" customWidth="1"/>
    <col min="10760" max="10760" width="11.140625" style="34" customWidth="1"/>
    <col min="10761" max="10761" width="9.5703125" style="34" customWidth="1"/>
    <col min="10762" max="10762" width="9.140625" style="34"/>
    <col min="10763" max="10763" width="8.140625" style="34" customWidth="1"/>
    <col min="10764" max="10764" width="9.7109375" style="34" customWidth="1"/>
    <col min="10765" max="10765" width="8.7109375" style="34" customWidth="1"/>
    <col min="10766" max="10766" width="7.140625" style="34" customWidth="1"/>
    <col min="10767" max="11008" width="9.140625" style="34"/>
    <col min="11009" max="11009" width="24.5703125" style="34" customWidth="1"/>
    <col min="11010" max="11010" width="9" style="34" customWidth="1"/>
    <col min="11011" max="11011" width="7.42578125" style="34" customWidth="1"/>
    <col min="11012" max="11012" width="8.85546875" style="34" customWidth="1"/>
    <col min="11013" max="11013" width="7.5703125" style="34" customWidth="1"/>
    <col min="11014" max="11014" width="12.140625" style="34" customWidth="1"/>
    <col min="11015" max="11015" width="10" style="34" customWidth="1"/>
    <col min="11016" max="11016" width="11.140625" style="34" customWidth="1"/>
    <col min="11017" max="11017" width="9.5703125" style="34" customWidth="1"/>
    <col min="11018" max="11018" width="9.140625" style="34"/>
    <col min="11019" max="11019" width="8.140625" style="34" customWidth="1"/>
    <col min="11020" max="11020" width="9.7109375" style="34" customWidth="1"/>
    <col min="11021" max="11021" width="8.7109375" style="34" customWidth="1"/>
    <col min="11022" max="11022" width="7.140625" style="34" customWidth="1"/>
    <col min="11023" max="11264" width="9.140625" style="34"/>
    <col min="11265" max="11265" width="24.5703125" style="34" customWidth="1"/>
    <col min="11266" max="11266" width="9" style="34" customWidth="1"/>
    <col min="11267" max="11267" width="7.42578125" style="34" customWidth="1"/>
    <col min="11268" max="11268" width="8.85546875" style="34" customWidth="1"/>
    <col min="11269" max="11269" width="7.5703125" style="34" customWidth="1"/>
    <col min="11270" max="11270" width="12.140625" style="34" customWidth="1"/>
    <col min="11271" max="11271" width="10" style="34" customWidth="1"/>
    <col min="11272" max="11272" width="11.140625" style="34" customWidth="1"/>
    <col min="11273" max="11273" width="9.5703125" style="34" customWidth="1"/>
    <col min="11274" max="11274" width="9.140625" style="34"/>
    <col min="11275" max="11275" width="8.140625" style="34" customWidth="1"/>
    <col min="11276" max="11276" width="9.7109375" style="34" customWidth="1"/>
    <col min="11277" max="11277" width="8.7109375" style="34" customWidth="1"/>
    <col min="11278" max="11278" width="7.140625" style="34" customWidth="1"/>
    <col min="11279" max="11520" width="9.140625" style="34"/>
    <col min="11521" max="11521" width="24.5703125" style="34" customWidth="1"/>
    <col min="11522" max="11522" width="9" style="34" customWidth="1"/>
    <col min="11523" max="11523" width="7.42578125" style="34" customWidth="1"/>
    <col min="11524" max="11524" width="8.85546875" style="34" customWidth="1"/>
    <col min="11525" max="11525" width="7.5703125" style="34" customWidth="1"/>
    <col min="11526" max="11526" width="12.140625" style="34" customWidth="1"/>
    <col min="11527" max="11527" width="10" style="34" customWidth="1"/>
    <col min="11528" max="11528" width="11.140625" style="34" customWidth="1"/>
    <col min="11529" max="11529" width="9.5703125" style="34" customWidth="1"/>
    <col min="11530" max="11530" width="9.140625" style="34"/>
    <col min="11531" max="11531" width="8.140625" style="34" customWidth="1"/>
    <col min="11532" max="11532" width="9.7109375" style="34" customWidth="1"/>
    <col min="11533" max="11533" width="8.7109375" style="34" customWidth="1"/>
    <col min="11534" max="11534" width="7.140625" style="34" customWidth="1"/>
    <col min="11535" max="11776" width="9.140625" style="34"/>
    <col min="11777" max="11777" width="24.5703125" style="34" customWidth="1"/>
    <col min="11778" max="11778" width="9" style="34" customWidth="1"/>
    <col min="11779" max="11779" width="7.42578125" style="34" customWidth="1"/>
    <col min="11780" max="11780" width="8.85546875" style="34" customWidth="1"/>
    <col min="11781" max="11781" width="7.5703125" style="34" customWidth="1"/>
    <col min="11782" max="11782" width="12.140625" style="34" customWidth="1"/>
    <col min="11783" max="11783" width="10" style="34" customWidth="1"/>
    <col min="11784" max="11784" width="11.140625" style="34" customWidth="1"/>
    <col min="11785" max="11785" width="9.5703125" style="34" customWidth="1"/>
    <col min="11786" max="11786" width="9.140625" style="34"/>
    <col min="11787" max="11787" width="8.140625" style="34" customWidth="1"/>
    <col min="11788" max="11788" width="9.7109375" style="34" customWidth="1"/>
    <col min="11789" max="11789" width="8.7109375" style="34" customWidth="1"/>
    <col min="11790" max="11790" width="7.140625" style="34" customWidth="1"/>
    <col min="11791" max="12032" width="9.140625" style="34"/>
    <col min="12033" max="12033" width="24.5703125" style="34" customWidth="1"/>
    <col min="12034" max="12034" width="9" style="34" customWidth="1"/>
    <col min="12035" max="12035" width="7.42578125" style="34" customWidth="1"/>
    <col min="12036" max="12036" width="8.85546875" style="34" customWidth="1"/>
    <col min="12037" max="12037" width="7.5703125" style="34" customWidth="1"/>
    <col min="12038" max="12038" width="12.140625" style="34" customWidth="1"/>
    <col min="12039" max="12039" width="10" style="34" customWidth="1"/>
    <col min="12040" max="12040" width="11.140625" style="34" customWidth="1"/>
    <col min="12041" max="12041" width="9.5703125" style="34" customWidth="1"/>
    <col min="12042" max="12042" width="9.140625" style="34"/>
    <col min="12043" max="12043" width="8.140625" style="34" customWidth="1"/>
    <col min="12044" max="12044" width="9.7109375" style="34" customWidth="1"/>
    <col min="12045" max="12045" width="8.7109375" style="34" customWidth="1"/>
    <col min="12046" max="12046" width="7.140625" style="34" customWidth="1"/>
    <col min="12047" max="12288" width="9.140625" style="34"/>
    <col min="12289" max="12289" width="24.5703125" style="34" customWidth="1"/>
    <col min="12290" max="12290" width="9" style="34" customWidth="1"/>
    <col min="12291" max="12291" width="7.42578125" style="34" customWidth="1"/>
    <col min="12292" max="12292" width="8.85546875" style="34" customWidth="1"/>
    <col min="12293" max="12293" width="7.5703125" style="34" customWidth="1"/>
    <col min="12294" max="12294" width="12.140625" style="34" customWidth="1"/>
    <col min="12295" max="12295" width="10" style="34" customWidth="1"/>
    <col min="12296" max="12296" width="11.140625" style="34" customWidth="1"/>
    <col min="12297" max="12297" width="9.5703125" style="34" customWidth="1"/>
    <col min="12298" max="12298" width="9.140625" style="34"/>
    <col min="12299" max="12299" width="8.140625" style="34" customWidth="1"/>
    <col min="12300" max="12300" width="9.7109375" style="34" customWidth="1"/>
    <col min="12301" max="12301" width="8.7109375" style="34" customWidth="1"/>
    <col min="12302" max="12302" width="7.140625" style="34" customWidth="1"/>
    <col min="12303" max="12544" width="9.140625" style="34"/>
    <col min="12545" max="12545" width="24.5703125" style="34" customWidth="1"/>
    <col min="12546" max="12546" width="9" style="34" customWidth="1"/>
    <col min="12547" max="12547" width="7.42578125" style="34" customWidth="1"/>
    <col min="12548" max="12548" width="8.85546875" style="34" customWidth="1"/>
    <col min="12549" max="12549" width="7.5703125" style="34" customWidth="1"/>
    <col min="12550" max="12550" width="12.140625" style="34" customWidth="1"/>
    <col min="12551" max="12551" width="10" style="34" customWidth="1"/>
    <col min="12552" max="12552" width="11.140625" style="34" customWidth="1"/>
    <col min="12553" max="12553" width="9.5703125" style="34" customWidth="1"/>
    <col min="12554" max="12554" width="9.140625" style="34"/>
    <col min="12555" max="12555" width="8.140625" style="34" customWidth="1"/>
    <col min="12556" max="12556" width="9.7109375" style="34" customWidth="1"/>
    <col min="12557" max="12557" width="8.7109375" style="34" customWidth="1"/>
    <col min="12558" max="12558" width="7.140625" style="34" customWidth="1"/>
    <col min="12559" max="12800" width="9.140625" style="34"/>
    <col min="12801" max="12801" width="24.5703125" style="34" customWidth="1"/>
    <col min="12802" max="12802" width="9" style="34" customWidth="1"/>
    <col min="12803" max="12803" width="7.42578125" style="34" customWidth="1"/>
    <col min="12804" max="12804" width="8.85546875" style="34" customWidth="1"/>
    <col min="12805" max="12805" width="7.5703125" style="34" customWidth="1"/>
    <col min="12806" max="12806" width="12.140625" style="34" customWidth="1"/>
    <col min="12807" max="12807" width="10" style="34" customWidth="1"/>
    <col min="12808" max="12808" width="11.140625" style="34" customWidth="1"/>
    <col min="12809" max="12809" width="9.5703125" style="34" customWidth="1"/>
    <col min="12810" max="12810" width="9.140625" style="34"/>
    <col min="12811" max="12811" width="8.140625" style="34" customWidth="1"/>
    <col min="12812" max="12812" width="9.7109375" style="34" customWidth="1"/>
    <col min="12813" max="12813" width="8.7109375" style="34" customWidth="1"/>
    <col min="12814" max="12814" width="7.140625" style="34" customWidth="1"/>
    <col min="12815" max="13056" width="9.140625" style="34"/>
    <col min="13057" max="13057" width="24.5703125" style="34" customWidth="1"/>
    <col min="13058" max="13058" width="9" style="34" customWidth="1"/>
    <col min="13059" max="13059" width="7.42578125" style="34" customWidth="1"/>
    <col min="13060" max="13060" width="8.85546875" style="34" customWidth="1"/>
    <col min="13061" max="13061" width="7.5703125" style="34" customWidth="1"/>
    <col min="13062" max="13062" width="12.140625" style="34" customWidth="1"/>
    <col min="13063" max="13063" width="10" style="34" customWidth="1"/>
    <col min="13064" max="13064" width="11.140625" style="34" customWidth="1"/>
    <col min="13065" max="13065" width="9.5703125" style="34" customWidth="1"/>
    <col min="13066" max="13066" width="9.140625" style="34"/>
    <col min="13067" max="13067" width="8.140625" style="34" customWidth="1"/>
    <col min="13068" max="13068" width="9.7109375" style="34" customWidth="1"/>
    <col min="13069" max="13069" width="8.7109375" style="34" customWidth="1"/>
    <col min="13070" max="13070" width="7.140625" style="34" customWidth="1"/>
    <col min="13071" max="13312" width="9.140625" style="34"/>
    <col min="13313" max="13313" width="24.5703125" style="34" customWidth="1"/>
    <col min="13314" max="13314" width="9" style="34" customWidth="1"/>
    <col min="13315" max="13315" width="7.42578125" style="34" customWidth="1"/>
    <col min="13316" max="13316" width="8.85546875" style="34" customWidth="1"/>
    <col min="13317" max="13317" width="7.5703125" style="34" customWidth="1"/>
    <col min="13318" max="13318" width="12.140625" style="34" customWidth="1"/>
    <col min="13319" max="13319" width="10" style="34" customWidth="1"/>
    <col min="13320" max="13320" width="11.140625" style="34" customWidth="1"/>
    <col min="13321" max="13321" width="9.5703125" style="34" customWidth="1"/>
    <col min="13322" max="13322" width="9.140625" style="34"/>
    <col min="13323" max="13323" width="8.140625" style="34" customWidth="1"/>
    <col min="13324" max="13324" width="9.7109375" style="34" customWidth="1"/>
    <col min="13325" max="13325" width="8.7109375" style="34" customWidth="1"/>
    <col min="13326" max="13326" width="7.140625" style="34" customWidth="1"/>
    <col min="13327" max="13568" width="9.140625" style="34"/>
    <col min="13569" max="13569" width="24.5703125" style="34" customWidth="1"/>
    <col min="13570" max="13570" width="9" style="34" customWidth="1"/>
    <col min="13571" max="13571" width="7.42578125" style="34" customWidth="1"/>
    <col min="13572" max="13572" width="8.85546875" style="34" customWidth="1"/>
    <col min="13573" max="13573" width="7.5703125" style="34" customWidth="1"/>
    <col min="13574" max="13574" width="12.140625" style="34" customWidth="1"/>
    <col min="13575" max="13575" width="10" style="34" customWidth="1"/>
    <col min="13576" max="13576" width="11.140625" style="34" customWidth="1"/>
    <col min="13577" max="13577" width="9.5703125" style="34" customWidth="1"/>
    <col min="13578" max="13578" width="9.140625" style="34"/>
    <col min="13579" max="13579" width="8.140625" style="34" customWidth="1"/>
    <col min="13580" max="13580" width="9.7109375" style="34" customWidth="1"/>
    <col min="13581" max="13581" width="8.7109375" style="34" customWidth="1"/>
    <col min="13582" max="13582" width="7.140625" style="34" customWidth="1"/>
    <col min="13583" max="13824" width="9.140625" style="34"/>
    <col min="13825" max="13825" width="24.5703125" style="34" customWidth="1"/>
    <col min="13826" max="13826" width="9" style="34" customWidth="1"/>
    <col min="13827" max="13827" width="7.42578125" style="34" customWidth="1"/>
    <col min="13828" max="13828" width="8.85546875" style="34" customWidth="1"/>
    <col min="13829" max="13829" width="7.5703125" style="34" customWidth="1"/>
    <col min="13830" max="13830" width="12.140625" style="34" customWidth="1"/>
    <col min="13831" max="13831" width="10" style="34" customWidth="1"/>
    <col min="13832" max="13832" width="11.140625" style="34" customWidth="1"/>
    <col min="13833" max="13833" width="9.5703125" style="34" customWidth="1"/>
    <col min="13834" max="13834" width="9.140625" style="34"/>
    <col min="13835" max="13835" width="8.140625" style="34" customWidth="1"/>
    <col min="13836" max="13836" width="9.7109375" style="34" customWidth="1"/>
    <col min="13837" max="13837" width="8.7109375" style="34" customWidth="1"/>
    <col min="13838" max="13838" width="7.140625" style="34" customWidth="1"/>
    <col min="13839" max="14080" width="9.140625" style="34"/>
    <col min="14081" max="14081" width="24.5703125" style="34" customWidth="1"/>
    <col min="14082" max="14082" width="9" style="34" customWidth="1"/>
    <col min="14083" max="14083" width="7.42578125" style="34" customWidth="1"/>
    <col min="14084" max="14084" width="8.85546875" style="34" customWidth="1"/>
    <col min="14085" max="14085" width="7.5703125" style="34" customWidth="1"/>
    <col min="14086" max="14086" width="12.140625" style="34" customWidth="1"/>
    <col min="14087" max="14087" width="10" style="34" customWidth="1"/>
    <col min="14088" max="14088" width="11.140625" style="34" customWidth="1"/>
    <col min="14089" max="14089" width="9.5703125" style="34" customWidth="1"/>
    <col min="14090" max="14090" width="9.140625" style="34"/>
    <col min="14091" max="14091" width="8.140625" style="34" customWidth="1"/>
    <col min="14092" max="14092" width="9.7109375" style="34" customWidth="1"/>
    <col min="14093" max="14093" width="8.7109375" style="34" customWidth="1"/>
    <col min="14094" max="14094" width="7.140625" style="34" customWidth="1"/>
    <col min="14095" max="14336" width="9.140625" style="34"/>
    <col min="14337" max="14337" width="24.5703125" style="34" customWidth="1"/>
    <col min="14338" max="14338" width="9" style="34" customWidth="1"/>
    <col min="14339" max="14339" width="7.42578125" style="34" customWidth="1"/>
    <col min="14340" max="14340" width="8.85546875" style="34" customWidth="1"/>
    <col min="14341" max="14341" width="7.5703125" style="34" customWidth="1"/>
    <col min="14342" max="14342" width="12.140625" style="34" customWidth="1"/>
    <col min="14343" max="14343" width="10" style="34" customWidth="1"/>
    <col min="14344" max="14344" width="11.140625" style="34" customWidth="1"/>
    <col min="14345" max="14345" width="9.5703125" style="34" customWidth="1"/>
    <col min="14346" max="14346" width="9.140625" style="34"/>
    <col min="14347" max="14347" width="8.140625" style="34" customWidth="1"/>
    <col min="14348" max="14348" width="9.7109375" style="34" customWidth="1"/>
    <col min="14349" max="14349" width="8.7109375" style="34" customWidth="1"/>
    <col min="14350" max="14350" width="7.140625" style="34" customWidth="1"/>
    <col min="14351" max="14592" width="9.140625" style="34"/>
    <col min="14593" max="14593" width="24.5703125" style="34" customWidth="1"/>
    <col min="14594" max="14594" width="9" style="34" customWidth="1"/>
    <col min="14595" max="14595" width="7.42578125" style="34" customWidth="1"/>
    <col min="14596" max="14596" width="8.85546875" style="34" customWidth="1"/>
    <col min="14597" max="14597" width="7.5703125" style="34" customWidth="1"/>
    <col min="14598" max="14598" width="12.140625" style="34" customWidth="1"/>
    <col min="14599" max="14599" width="10" style="34" customWidth="1"/>
    <col min="14600" max="14600" width="11.140625" style="34" customWidth="1"/>
    <col min="14601" max="14601" width="9.5703125" style="34" customWidth="1"/>
    <col min="14602" max="14602" width="9.140625" style="34"/>
    <col min="14603" max="14603" width="8.140625" style="34" customWidth="1"/>
    <col min="14604" max="14604" width="9.7109375" style="34" customWidth="1"/>
    <col min="14605" max="14605" width="8.7109375" style="34" customWidth="1"/>
    <col min="14606" max="14606" width="7.140625" style="34" customWidth="1"/>
    <col min="14607" max="14848" width="9.140625" style="34"/>
    <col min="14849" max="14849" width="24.5703125" style="34" customWidth="1"/>
    <col min="14850" max="14850" width="9" style="34" customWidth="1"/>
    <col min="14851" max="14851" width="7.42578125" style="34" customWidth="1"/>
    <col min="14852" max="14852" width="8.85546875" style="34" customWidth="1"/>
    <col min="14853" max="14853" width="7.5703125" style="34" customWidth="1"/>
    <col min="14854" max="14854" width="12.140625" style="34" customWidth="1"/>
    <col min="14855" max="14855" width="10" style="34" customWidth="1"/>
    <col min="14856" max="14856" width="11.140625" style="34" customWidth="1"/>
    <col min="14857" max="14857" width="9.5703125" style="34" customWidth="1"/>
    <col min="14858" max="14858" width="9.140625" style="34"/>
    <col min="14859" max="14859" width="8.140625" style="34" customWidth="1"/>
    <col min="14860" max="14860" width="9.7109375" style="34" customWidth="1"/>
    <col min="14861" max="14861" width="8.7109375" style="34" customWidth="1"/>
    <col min="14862" max="14862" width="7.140625" style="34" customWidth="1"/>
    <col min="14863" max="15104" width="9.140625" style="34"/>
    <col min="15105" max="15105" width="24.5703125" style="34" customWidth="1"/>
    <col min="15106" max="15106" width="9" style="34" customWidth="1"/>
    <col min="15107" max="15107" width="7.42578125" style="34" customWidth="1"/>
    <col min="15108" max="15108" width="8.85546875" style="34" customWidth="1"/>
    <col min="15109" max="15109" width="7.5703125" style="34" customWidth="1"/>
    <col min="15110" max="15110" width="12.140625" style="34" customWidth="1"/>
    <col min="15111" max="15111" width="10" style="34" customWidth="1"/>
    <col min="15112" max="15112" width="11.140625" style="34" customWidth="1"/>
    <col min="15113" max="15113" width="9.5703125" style="34" customWidth="1"/>
    <col min="15114" max="15114" width="9.140625" style="34"/>
    <col min="15115" max="15115" width="8.140625" style="34" customWidth="1"/>
    <col min="15116" max="15116" width="9.7109375" style="34" customWidth="1"/>
    <col min="15117" max="15117" width="8.7109375" style="34" customWidth="1"/>
    <col min="15118" max="15118" width="7.140625" style="34" customWidth="1"/>
    <col min="15119" max="15360" width="9.140625" style="34"/>
    <col min="15361" max="15361" width="24.5703125" style="34" customWidth="1"/>
    <col min="15362" max="15362" width="9" style="34" customWidth="1"/>
    <col min="15363" max="15363" width="7.42578125" style="34" customWidth="1"/>
    <col min="15364" max="15364" width="8.85546875" style="34" customWidth="1"/>
    <col min="15365" max="15365" width="7.5703125" style="34" customWidth="1"/>
    <col min="15366" max="15366" width="12.140625" style="34" customWidth="1"/>
    <col min="15367" max="15367" width="10" style="34" customWidth="1"/>
    <col min="15368" max="15368" width="11.140625" style="34" customWidth="1"/>
    <col min="15369" max="15369" width="9.5703125" style="34" customWidth="1"/>
    <col min="15370" max="15370" width="9.140625" style="34"/>
    <col min="15371" max="15371" width="8.140625" style="34" customWidth="1"/>
    <col min="15372" max="15372" width="9.7109375" style="34" customWidth="1"/>
    <col min="15373" max="15373" width="8.7109375" style="34" customWidth="1"/>
    <col min="15374" max="15374" width="7.140625" style="34" customWidth="1"/>
    <col min="15375" max="15616" width="9.140625" style="34"/>
    <col min="15617" max="15617" width="24.5703125" style="34" customWidth="1"/>
    <col min="15618" max="15618" width="9" style="34" customWidth="1"/>
    <col min="15619" max="15619" width="7.42578125" style="34" customWidth="1"/>
    <col min="15620" max="15620" width="8.85546875" style="34" customWidth="1"/>
    <col min="15621" max="15621" width="7.5703125" style="34" customWidth="1"/>
    <col min="15622" max="15622" width="12.140625" style="34" customWidth="1"/>
    <col min="15623" max="15623" width="10" style="34" customWidth="1"/>
    <col min="15624" max="15624" width="11.140625" style="34" customWidth="1"/>
    <col min="15625" max="15625" width="9.5703125" style="34" customWidth="1"/>
    <col min="15626" max="15626" width="9.140625" style="34"/>
    <col min="15627" max="15627" width="8.140625" style="34" customWidth="1"/>
    <col min="15628" max="15628" width="9.7109375" style="34" customWidth="1"/>
    <col min="15629" max="15629" width="8.7109375" style="34" customWidth="1"/>
    <col min="15630" max="15630" width="7.140625" style="34" customWidth="1"/>
    <col min="15631" max="15872" width="9.140625" style="34"/>
    <col min="15873" max="15873" width="24.5703125" style="34" customWidth="1"/>
    <col min="15874" max="15874" width="9" style="34" customWidth="1"/>
    <col min="15875" max="15875" width="7.42578125" style="34" customWidth="1"/>
    <col min="15876" max="15876" width="8.85546875" style="34" customWidth="1"/>
    <col min="15877" max="15877" width="7.5703125" style="34" customWidth="1"/>
    <col min="15878" max="15878" width="12.140625" style="34" customWidth="1"/>
    <col min="15879" max="15879" width="10" style="34" customWidth="1"/>
    <col min="15880" max="15880" width="11.140625" style="34" customWidth="1"/>
    <col min="15881" max="15881" width="9.5703125" style="34" customWidth="1"/>
    <col min="15882" max="15882" width="9.140625" style="34"/>
    <col min="15883" max="15883" width="8.140625" style="34" customWidth="1"/>
    <col min="15884" max="15884" width="9.7109375" style="34" customWidth="1"/>
    <col min="15885" max="15885" width="8.7109375" style="34" customWidth="1"/>
    <col min="15886" max="15886" width="7.140625" style="34" customWidth="1"/>
    <col min="15887" max="16128" width="9.140625" style="34"/>
    <col min="16129" max="16129" width="24.5703125" style="34" customWidth="1"/>
    <col min="16130" max="16130" width="9" style="34" customWidth="1"/>
    <col min="16131" max="16131" width="7.42578125" style="34" customWidth="1"/>
    <col min="16132" max="16132" width="8.85546875" style="34" customWidth="1"/>
    <col min="16133" max="16133" width="7.5703125" style="34" customWidth="1"/>
    <col min="16134" max="16134" width="12.140625" style="34" customWidth="1"/>
    <col min="16135" max="16135" width="10" style="34" customWidth="1"/>
    <col min="16136" max="16136" width="11.140625" style="34" customWidth="1"/>
    <col min="16137" max="16137" width="9.5703125" style="34" customWidth="1"/>
    <col min="16138" max="16138" width="9.140625" style="34"/>
    <col min="16139" max="16139" width="8.140625" style="34" customWidth="1"/>
    <col min="16140" max="16140" width="9.7109375" style="34" customWidth="1"/>
    <col min="16141" max="16141" width="8.7109375" style="34" customWidth="1"/>
    <col min="16142" max="16142" width="7.140625" style="34" customWidth="1"/>
    <col min="16143" max="16384" width="9.140625" style="34"/>
  </cols>
  <sheetData>
    <row r="1" spans="1:14" ht="18">
      <c r="A1" s="874" t="s">
        <v>209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</row>
    <row r="2" spans="1:14">
      <c r="A2" s="875" t="s">
        <v>468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</row>
    <row r="3" spans="1:14" ht="15">
      <c r="A3" s="489" t="s">
        <v>585</v>
      </c>
      <c r="B3" s="489"/>
      <c r="C3" s="489"/>
    </row>
    <row r="4" spans="1:14" s="44" customFormat="1" ht="15.95" customHeight="1">
      <c r="A4" s="46" t="s">
        <v>272</v>
      </c>
      <c r="B4" s="876" t="s">
        <v>484</v>
      </c>
      <c r="C4" s="876"/>
      <c r="D4" s="876"/>
      <c r="E4" s="876"/>
      <c r="F4" s="873" t="s">
        <v>470</v>
      </c>
      <c r="G4" s="877"/>
      <c r="H4" s="404">
        <v>10</v>
      </c>
      <c r="I4" s="873" t="s">
        <v>208</v>
      </c>
      <c r="J4" s="877"/>
      <c r="K4" s="49">
        <v>5110.29</v>
      </c>
      <c r="L4" s="873" t="s">
        <v>33</v>
      </c>
      <c r="M4" s="873"/>
      <c r="N4" s="404"/>
    </row>
    <row r="5" spans="1:14" s="44" customFormat="1" ht="15.95" customHeight="1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s="44" customFormat="1" ht="15.95" customHeight="1">
      <c r="A6" s="48" t="s">
        <v>347</v>
      </c>
      <c r="B6" s="886" t="s">
        <v>485</v>
      </c>
      <c r="C6" s="887"/>
      <c r="D6" s="887"/>
      <c r="E6" s="888"/>
      <c r="F6" s="872" t="s">
        <v>472</v>
      </c>
      <c r="G6" s="877"/>
      <c r="H6" s="886" t="s">
        <v>485</v>
      </c>
      <c r="I6" s="887"/>
      <c r="J6" s="887"/>
      <c r="K6" s="888"/>
      <c r="L6" s="45"/>
      <c r="M6" s="45"/>
      <c r="N6" s="45"/>
    </row>
    <row r="7" spans="1:14" s="44" customFormat="1" ht="15.95" customHeight="1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s="132" customFormat="1" ht="41.25" customHeight="1">
      <c r="A8" s="131" t="s">
        <v>474</v>
      </c>
      <c r="B8" s="878" t="s">
        <v>486</v>
      </c>
      <c r="C8" s="879"/>
      <c r="D8" s="879"/>
      <c r="E8" s="879"/>
      <c r="F8" s="879"/>
      <c r="G8" s="880"/>
      <c r="H8" s="36"/>
      <c r="I8" s="878" t="s">
        <v>487</v>
      </c>
      <c r="J8" s="879"/>
      <c r="K8" s="879"/>
      <c r="L8" s="879"/>
      <c r="M8" s="879"/>
      <c r="N8" s="880"/>
    </row>
    <row r="9" spans="1:14" s="44" customFormat="1" ht="15.9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44" customFormat="1" ht="15.95" customHeight="1">
      <c r="A10" s="46" t="s">
        <v>206</v>
      </c>
      <c r="B10" s="404">
        <v>20</v>
      </c>
      <c r="C10" s="872" t="s">
        <v>205</v>
      </c>
      <c r="D10" s="873"/>
      <c r="E10" s="873"/>
      <c r="F10" s="404">
        <v>16</v>
      </c>
      <c r="G10" s="47" t="s">
        <v>163</v>
      </c>
      <c r="H10" s="404">
        <v>140</v>
      </c>
      <c r="I10" s="403" t="s">
        <v>204</v>
      </c>
      <c r="J10" s="404">
        <v>10</v>
      </c>
      <c r="K10" s="403" t="s">
        <v>203</v>
      </c>
      <c r="L10" s="404"/>
      <c r="M10" s="45"/>
      <c r="N10" s="45"/>
    </row>
    <row r="11" spans="1:14" s="44" customFormat="1" ht="15.95" customHeight="1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s="44" customFormat="1" ht="15.95" customHeight="1">
      <c r="A12" s="46" t="s">
        <v>96</v>
      </c>
      <c r="B12" s="403" t="s">
        <v>40</v>
      </c>
      <c r="C12" s="404">
        <v>1899</v>
      </c>
      <c r="D12" s="403" t="s">
        <v>41</v>
      </c>
      <c r="E12" s="404">
        <v>339</v>
      </c>
      <c r="F12" s="403" t="s">
        <v>42</v>
      </c>
      <c r="G12" s="404">
        <v>637</v>
      </c>
      <c r="H12" s="403" t="s">
        <v>64</v>
      </c>
      <c r="I12" s="404">
        <v>2875</v>
      </c>
      <c r="J12" s="47" t="s">
        <v>79</v>
      </c>
      <c r="K12" s="404">
        <v>615</v>
      </c>
      <c r="L12" s="873" t="s">
        <v>202</v>
      </c>
      <c r="M12" s="873"/>
      <c r="N12" s="404"/>
    </row>
    <row r="13" spans="1:14" s="44" customFormat="1" ht="15.95" customHeight="1">
      <c r="A13" s="46" t="s">
        <v>45</v>
      </c>
      <c r="B13" s="403" t="s">
        <v>46</v>
      </c>
      <c r="C13" s="404">
        <v>4214</v>
      </c>
      <c r="D13" s="403" t="s">
        <v>201</v>
      </c>
      <c r="E13" s="404">
        <v>743</v>
      </c>
      <c r="F13" s="403" t="s">
        <v>48</v>
      </c>
      <c r="G13" s="404">
        <v>1372</v>
      </c>
      <c r="H13" s="403" t="s">
        <v>77</v>
      </c>
      <c r="I13" s="404">
        <v>6329</v>
      </c>
      <c r="J13" s="45"/>
      <c r="K13" s="45"/>
      <c r="L13" s="45"/>
      <c r="M13" s="45"/>
      <c r="N13" s="45"/>
    </row>
    <row r="14" spans="1:14" s="44" customFormat="1" ht="15.95" customHeight="1">
      <c r="B14" s="403" t="s">
        <v>49</v>
      </c>
      <c r="C14" s="404">
        <v>4291</v>
      </c>
      <c r="D14" s="403" t="s">
        <v>50</v>
      </c>
      <c r="E14" s="404">
        <v>799</v>
      </c>
      <c r="F14" s="403" t="s">
        <v>51</v>
      </c>
      <c r="G14" s="404">
        <v>1351</v>
      </c>
      <c r="H14" s="403" t="s">
        <v>76</v>
      </c>
      <c r="I14" s="404">
        <v>6441</v>
      </c>
      <c r="J14" s="45"/>
      <c r="K14" s="45"/>
      <c r="L14" s="45"/>
      <c r="M14" s="45"/>
      <c r="N14" s="45"/>
    </row>
    <row r="15" spans="1:14" s="44" customFormat="1" ht="15.95" customHeight="1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s="44" customFormat="1" ht="15.95" customHeight="1">
      <c r="A16" s="44" t="s">
        <v>52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s="44" customFormat="1" ht="15.95" customHeight="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s="39" customFormat="1" ht="18.75" customHeight="1">
      <c r="A18" s="881" t="s">
        <v>53</v>
      </c>
      <c r="B18" s="881" t="s">
        <v>172</v>
      </c>
      <c r="C18" s="881" t="s">
        <v>55</v>
      </c>
      <c r="D18" s="881" t="s">
        <v>200</v>
      </c>
      <c r="E18" s="881" t="s">
        <v>199</v>
      </c>
      <c r="F18" s="883" t="s">
        <v>198</v>
      </c>
      <c r="G18" s="884"/>
      <c r="H18" s="884"/>
      <c r="I18" s="884"/>
      <c r="J18" s="884"/>
      <c r="K18" s="884"/>
      <c r="L18" s="884"/>
      <c r="M18" s="884"/>
      <c r="N18" s="885"/>
    </row>
    <row r="19" spans="1:14" s="39" customFormat="1" ht="18.75" customHeight="1">
      <c r="A19" s="882"/>
      <c r="B19" s="882"/>
      <c r="C19" s="882"/>
      <c r="D19" s="882"/>
      <c r="E19" s="882"/>
      <c r="F19" s="43" t="s">
        <v>105</v>
      </c>
      <c r="G19" s="43" t="s">
        <v>106</v>
      </c>
      <c r="H19" s="43" t="s">
        <v>107</v>
      </c>
      <c r="I19" s="43" t="s">
        <v>108</v>
      </c>
      <c r="J19" s="43" t="s">
        <v>109</v>
      </c>
      <c r="K19" s="43" t="s">
        <v>110</v>
      </c>
      <c r="L19" s="43" t="s">
        <v>111</v>
      </c>
      <c r="M19" s="43" t="s">
        <v>64</v>
      </c>
      <c r="N19" s="43" t="s">
        <v>65</v>
      </c>
    </row>
    <row r="20" spans="1:14" s="39" customFormat="1" ht="26.1" customHeight="1">
      <c r="A20" s="42" t="s">
        <v>370</v>
      </c>
      <c r="B20" s="40">
        <v>500</v>
      </c>
      <c r="C20" s="40" t="s">
        <v>66</v>
      </c>
      <c r="D20" s="41">
        <v>25.551449999999999</v>
      </c>
      <c r="E20" s="41">
        <v>15.76</v>
      </c>
      <c r="F20" s="40"/>
      <c r="G20" s="135">
        <v>8.2962000000000007</v>
      </c>
      <c r="H20" s="41">
        <v>3.2526000000000002</v>
      </c>
      <c r="I20" s="40"/>
      <c r="J20" s="40"/>
      <c r="K20" s="40"/>
      <c r="L20" s="40"/>
      <c r="M20" s="135">
        <v>11.5488</v>
      </c>
      <c r="N20" s="50">
        <v>73.279187817258887</v>
      </c>
    </row>
    <row r="21" spans="1:14" s="39" customFormat="1" ht="26.1" customHeight="1">
      <c r="A21" s="42" t="s">
        <v>320</v>
      </c>
      <c r="B21" s="40">
        <v>360</v>
      </c>
      <c r="C21" s="40" t="s">
        <v>66</v>
      </c>
      <c r="D21" s="41">
        <v>18.397043999999998</v>
      </c>
      <c r="E21" s="41">
        <v>3.51</v>
      </c>
      <c r="F21" s="40"/>
      <c r="G21" s="135">
        <v>0</v>
      </c>
      <c r="H21" s="41">
        <v>1.5185</v>
      </c>
      <c r="I21" s="133"/>
      <c r="J21" s="40"/>
      <c r="K21" s="40"/>
      <c r="L21" s="40"/>
      <c r="M21" s="135">
        <v>1.5185</v>
      </c>
      <c r="N21" s="50">
        <v>43.262108262108264</v>
      </c>
    </row>
    <row r="22" spans="1:14" s="39" customFormat="1" ht="26.1" customHeight="1">
      <c r="A22" s="42" t="s">
        <v>321</v>
      </c>
      <c r="B22" s="40">
        <v>8.4</v>
      </c>
      <c r="C22" s="40" t="s">
        <v>477</v>
      </c>
      <c r="D22" s="41">
        <v>58.5</v>
      </c>
      <c r="E22" s="41">
        <v>7.8990799999999997</v>
      </c>
      <c r="F22" s="40"/>
      <c r="G22" s="135">
        <v>3.8124899999999999</v>
      </c>
      <c r="H22" s="41">
        <v>3.4998100000000001</v>
      </c>
      <c r="I22" s="133"/>
      <c r="J22" s="40"/>
      <c r="K22" s="40"/>
      <c r="L22" s="40"/>
      <c r="M22" s="135">
        <v>7.3123000000000005</v>
      </c>
      <c r="N22" s="50">
        <v>92.571539976807443</v>
      </c>
    </row>
    <row r="23" spans="1:14" s="39" customFormat="1" ht="26.1" customHeight="1">
      <c r="A23" s="42" t="s">
        <v>246</v>
      </c>
      <c r="B23" s="40">
        <v>0.84</v>
      </c>
      <c r="C23" s="40" t="s">
        <v>477</v>
      </c>
      <c r="D23" s="40">
        <v>5.88</v>
      </c>
      <c r="E23" s="41">
        <v>2.1076299999999999</v>
      </c>
      <c r="F23" s="40"/>
      <c r="G23" s="135">
        <v>1.5249900000000001</v>
      </c>
      <c r="H23" s="41">
        <v>0.51390999999999998</v>
      </c>
      <c r="I23" s="40"/>
      <c r="J23" s="40"/>
      <c r="K23" s="40"/>
      <c r="L23" s="40"/>
      <c r="M23" s="135">
        <v>2.0388999999999999</v>
      </c>
      <c r="N23" s="50">
        <v>96.738991189155598</v>
      </c>
    </row>
    <row r="24" spans="1:14" s="39" customFormat="1" ht="26.1" customHeight="1">
      <c r="A24" s="42" t="s">
        <v>478</v>
      </c>
      <c r="B24" s="40">
        <v>3.6</v>
      </c>
      <c r="C24" s="40" t="s">
        <v>477</v>
      </c>
      <c r="D24" s="40">
        <v>25.2</v>
      </c>
      <c r="E24" s="41">
        <v>4.4166699999999999</v>
      </c>
      <c r="F24" s="40"/>
      <c r="G24" s="135">
        <v>2.57667</v>
      </c>
      <c r="H24" s="41">
        <v>2.16</v>
      </c>
      <c r="I24" s="133"/>
      <c r="J24" s="40"/>
      <c r="K24" s="40"/>
      <c r="L24" s="40"/>
      <c r="M24" s="135">
        <v>4.7366700000000002</v>
      </c>
      <c r="N24" s="50">
        <v>107.24527755073392</v>
      </c>
    </row>
    <row r="25" spans="1:14" s="39" customFormat="1" ht="26.1" customHeight="1">
      <c r="A25" s="42" t="s">
        <v>323</v>
      </c>
      <c r="B25" s="40">
        <v>0.24</v>
      </c>
      <c r="C25" s="40" t="s">
        <v>477</v>
      </c>
      <c r="D25" s="41">
        <v>1.68</v>
      </c>
      <c r="E25" s="41">
        <v>0.49959999999999999</v>
      </c>
      <c r="F25" s="40"/>
      <c r="G25" s="135">
        <v>0.25975999999999999</v>
      </c>
      <c r="H25" s="41">
        <v>0.25984000000000002</v>
      </c>
      <c r="I25" s="133"/>
      <c r="J25" s="40"/>
      <c r="K25" s="40"/>
      <c r="L25" s="40"/>
      <c r="M25" s="135">
        <v>0.51960000000000006</v>
      </c>
      <c r="N25" s="50">
        <v>104.00320256204965</v>
      </c>
    </row>
    <row r="26" spans="1:14" s="39" customFormat="1" ht="26.1" customHeight="1">
      <c r="A26" s="42" t="s">
        <v>306</v>
      </c>
      <c r="B26" s="40">
        <v>0.36</v>
      </c>
      <c r="C26" s="40" t="s">
        <v>477</v>
      </c>
      <c r="D26" s="41">
        <v>2.52</v>
      </c>
      <c r="E26" s="41">
        <v>0.74861</v>
      </c>
      <c r="F26" s="40"/>
      <c r="G26" s="135">
        <v>0.38973000000000002</v>
      </c>
      <c r="H26" s="41">
        <v>0.38888499999999998</v>
      </c>
      <c r="I26" s="133"/>
      <c r="J26" s="40"/>
      <c r="K26" s="40"/>
      <c r="L26" s="40"/>
      <c r="M26" s="135">
        <v>0.77861500000000006</v>
      </c>
      <c r="N26" s="50">
        <v>104.00809500273841</v>
      </c>
    </row>
    <row r="27" spans="1:14" s="39" customFormat="1" ht="26.1" customHeight="1">
      <c r="A27" s="42" t="s">
        <v>113</v>
      </c>
      <c r="B27" s="40">
        <v>0.2</v>
      </c>
      <c r="C27" s="40" t="s">
        <v>68</v>
      </c>
      <c r="D27" s="40">
        <v>0.2</v>
      </c>
      <c r="E27" s="41">
        <v>0.2</v>
      </c>
      <c r="F27" s="40"/>
      <c r="G27" s="135">
        <v>0.2</v>
      </c>
      <c r="H27" s="41">
        <v>0</v>
      </c>
      <c r="I27" s="40"/>
      <c r="J27" s="40"/>
      <c r="K27" s="40"/>
      <c r="L27" s="40"/>
      <c r="M27" s="135">
        <v>0.2</v>
      </c>
      <c r="N27" s="50">
        <v>100</v>
      </c>
    </row>
    <row r="28" spans="1:14" ht="18" customHeight="1">
      <c r="A28" s="134" t="s">
        <v>69</v>
      </c>
      <c r="B28" s="37"/>
      <c r="C28" s="37"/>
      <c r="D28" s="38">
        <v>137.928494</v>
      </c>
      <c r="E28" s="38">
        <v>35.141590000000008</v>
      </c>
      <c r="F28" s="38">
        <v>0</v>
      </c>
      <c r="G28" s="38">
        <v>17.059840000000001</v>
      </c>
      <c r="H28" s="51">
        <v>11.593545000000001</v>
      </c>
      <c r="I28" s="38">
        <v>0</v>
      </c>
      <c r="J28" s="38">
        <v>0</v>
      </c>
      <c r="K28" s="38">
        <v>0</v>
      </c>
      <c r="L28" s="38">
        <v>0</v>
      </c>
      <c r="M28" s="38">
        <v>28.653385</v>
      </c>
      <c r="N28" s="51"/>
    </row>
  </sheetData>
  <mergeCells count="20">
    <mergeCell ref="L12:M12"/>
    <mergeCell ref="A18:A19"/>
    <mergeCell ref="B18:B19"/>
    <mergeCell ref="C18:C19"/>
    <mergeCell ref="D18:D19"/>
    <mergeCell ref="E18:E19"/>
    <mergeCell ref="F18:N18"/>
    <mergeCell ref="C10:E10"/>
    <mergeCell ref="A1:N1"/>
    <mergeCell ref="A2:N2"/>
    <mergeCell ref="A3:C3"/>
    <mergeCell ref="B4:E4"/>
    <mergeCell ref="F4:G4"/>
    <mergeCell ref="I4:J4"/>
    <mergeCell ref="L4:M4"/>
    <mergeCell ref="B6:E6"/>
    <mergeCell ref="F6:G6"/>
    <mergeCell ref="H6:K6"/>
    <mergeCell ref="B8:G8"/>
    <mergeCell ref="I8:N8"/>
  </mergeCells>
  <hyperlinks>
    <hyperlink ref="A3" location="'Fact Sheet of VDC'!A1" display="&lt;&lt;Back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9"/>
  <sheetViews>
    <sheetView workbookViewId="0">
      <selection activeCell="A4" sqref="A4:C4"/>
    </sheetView>
  </sheetViews>
  <sheetFormatPr defaultRowHeight="14.25"/>
  <cols>
    <col min="1" max="2" width="9.140625" style="185"/>
    <col min="3" max="3" width="6.42578125" style="185" customWidth="1"/>
    <col min="4" max="4" width="10.7109375" style="185" customWidth="1"/>
    <col min="5" max="5" width="14.7109375" style="185" customWidth="1"/>
    <col min="6" max="6" width="9.7109375" style="185" customWidth="1"/>
    <col min="7" max="7" width="13.42578125" style="185" customWidth="1"/>
    <col min="8" max="8" width="9.140625" style="185"/>
    <col min="9" max="9" width="4.140625" style="185" customWidth="1"/>
    <col min="10" max="10" width="15.7109375" style="185" customWidth="1"/>
    <col min="11" max="11" width="7.28515625" style="185" customWidth="1"/>
    <col min="12" max="12" width="6" style="185" customWidth="1"/>
    <col min="13" max="13" width="13.28515625" style="185" customWidth="1"/>
    <col min="14" max="14" width="9.140625" style="185"/>
    <col min="15" max="15" width="6.7109375" style="185" customWidth="1"/>
    <col min="16" max="16" width="10.7109375" style="185" customWidth="1"/>
    <col min="17" max="17" width="6.5703125" style="185" customWidth="1"/>
    <col min="18" max="18" width="5.7109375" style="185" customWidth="1"/>
    <col min="19" max="19" width="15.85546875" style="185" customWidth="1"/>
    <col min="20" max="20" width="10" style="185" customWidth="1"/>
    <col min="21" max="21" width="11.5703125" style="185" customWidth="1"/>
    <col min="22" max="22" width="12.140625" style="185" customWidth="1"/>
    <col min="23" max="258" width="9.140625" style="185"/>
    <col min="259" max="259" width="6.42578125" style="185" customWidth="1"/>
    <col min="260" max="260" width="10.7109375" style="185" customWidth="1"/>
    <col min="261" max="261" width="14.7109375" style="185" customWidth="1"/>
    <col min="262" max="262" width="9.7109375" style="185" customWidth="1"/>
    <col min="263" max="263" width="13.42578125" style="185" customWidth="1"/>
    <col min="264" max="264" width="9.140625" style="185"/>
    <col min="265" max="265" width="4.140625" style="185" customWidth="1"/>
    <col min="266" max="266" width="15.7109375" style="185" customWidth="1"/>
    <col min="267" max="267" width="7.28515625" style="185" customWidth="1"/>
    <col min="268" max="268" width="6" style="185" customWidth="1"/>
    <col min="269" max="269" width="13.28515625" style="185" customWidth="1"/>
    <col min="270" max="270" width="9.140625" style="185"/>
    <col min="271" max="271" width="6.7109375" style="185" customWidth="1"/>
    <col min="272" max="272" width="10.7109375" style="185" customWidth="1"/>
    <col min="273" max="273" width="6.5703125" style="185" customWidth="1"/>
    <col min="274" max="274" width="5.7109375" style="185" customWidth="1"/>
    <col min="275" max="275" width="15.85546875" style="185" customWidth="1"/>
    <col min="276" max="276" width="10" style="185" customWidth="1"/>
    <col min="277" max="277" width="11.5703125" style="185" customWidth="1"/>
    <col min="278" max="278" width="12.140625" style="185" customWidth="1"/>
    <col min="279" max="514" width="9.140625" style="185"/>
    <col min="515" max="515" width="6.42578125" style="185" customWidth="1"/>
    <col min="516" max="516" width="10.7109375" style="185" customWidth="1"/>
    <col min="517" max="517" width="14.7109375" style="185" customWidth="1"/>
    <col min="518" max="518" width="9.7109375" style="185" customWidth="1"/>
    <col min="519" max="519" width="13.42578125" style="185" customWidth="1"/>
    <col min="520" max="520" width="9.140625" style="185"/>
    <col min="521" max="521" width="4.140625" style="185" customWidth="1"/>
    <col min="522" max="522" width="15.7109375" style="185" customWidth="1"/>
    <col min="523" max="523" width="7.28515625" style="185" customWidth="1"/>
    <col min="524" max="524" width="6" style="185" customWidth="1"/>
    <col min="525" max="525" width="13.28515625" style="185" customWidth="1"/>
    <col min="526" max="526" width="9.140625" style="185"/>
    <col min="527" max="527" width="6.7109375" style="185" customWidth="1"/>
    <col min="528" max="528" width="10.7109375" style="185" customWidth="1"/>
    <col min="529" max="529" width="6.5703125" style="185" customWidth="1"/>
    <col min="530" max="530" width="5.7109375" style="185" customWidth="1"/>
    <col min="531" max="531" width="15.85546875" style="185" customWidth="1"/>
    <col min="532" max="532" width="10" style="185" customWidth="1"/>
    <col min="533" max="533" width="11.5703125" style="185" customWidth="1"/>
    <col min="534" max="534" width="12.140625" style="185" customWidth="1"/>
    <col min="535" max="770" width="9.140625" style="185"/>
    <col min="771" max="771" width="6.42578125" style="185" customWidth="1"/>
    <col min="772" max="772" width="10.7109375" style="185" customWidth="1"/>
    <col min="773" max="773" width="14.7109375" style="185" customWidth="1"/>
    <col min="774" max="774" width="9.7109375" style="185" customWidth="1"/>
    <col min="775" max="775" width="13.42578125" style="185" customWidth="1"/>
    <col min="776" max="776" width="9.140625" style="185"/>
    <col min="777" max="777" width="4.140625" style="185" customWidth="1"/>
    <col min="778" max="778" width="15.7109375" style="185" customWidth="1"/>
    <col min="779" max="779" width="7.28515625" style="185" customWidth="1"/>
    <col min="780" max="780" width="6" style="185" customWidth="1"/>
    <col min="781" max="781" width="13.28515625" style="185" customWidth="1"/>
    <col min="782" max="782" width="9.140625" style="185"/>
    <col min="783" max="783" width="6.7109375" style="185" customWidth="1"/>
    <col min="784" max="784" width="10.7109375" style="185" customWidth="1"/>
    <col min="785" max="785" width="6.5703125" style="185" customWidth="1"/>
    <col min="786" max="786" width="5.7109375" style="185" customWidth="1"/>
    <col min="787" max="787" width="15.85546875" style="185" customWidth="1"/>
    <col min="788" max="788" width="10" style="185" customWidth="1"/>
    <col min="789" max="789" width="11.5703125" style="185" customWidth="1"/>
    <col min="790" max="790" width="12.140625" style="185" customWidth="1"/>
    <col min="791" max="1026" width="9.140625" style="185"/>
    <col min="1027" max="1027" width="6.42578125" style="185" customWidth="1"/>
    <col min="1028" max="1028" width="10.7109375" style="185" customWidth="1"/>
    <col min="1029" max="1029" width="14.7109375" style="185" customWidth="1"/>
    <col min="1030" max="1030" width="9.7109375" style="185" customWidth="1"/>
    <col min="1031" max="1031" width="13.42578125" style="185" customWidth="1"/>
    <col min="1032" max="1032" width="9.140625" style="185"/>
    <col min="1033" max="1033" width="4.140625" style="185" customWidth="1"/>
    <col min="1034" max="1034" width="15.7109375" style="185" customWidth="1"/>
    <col min="1035" max="1035" width="7.28515625" style="185" customWidth="1"/>
    <col min="1036" max="1036" width="6" style="185" customWidth="1"/>
    <col min="1037" max="1037" width="13.28515625" style="185" customWidth="1"/>
    <col min="1038" max="1038" width="9.140625" style="185"/>
    <col min="1039" max="1039" width="6.7109375" style="185" customWidth="1"/>
    <col min="1040" max="1040" width="10.7109375" style="185" customWidth="1"/>
    <col min="1041" max="1041" width="6.5703125" style="185" customWidth="1"/>
    <col min="1042" max="1042" width="5.7109375" style="185" customWidth="1"/>
    <col min="1043" max="1043" width="15.85546875" style="185" customWidth="1"/>
    <col min="1044" max="1044" width="10" style="185" customWidth="1"/>
    <col min="1045" max="1045" width="11.5703125" style="185" customWidth="1"/>
    <col min="1046" max="1046" width="12.140625" style="185" customWidth="1"/>
    <col min="1047" max="1282" width="9.140625" style="185"/>
    <col min="1283" max="1283" width="6.42578125" style="185" customWidth="1"/>
    <col min="1284" max="1284" width="10.7109375" style="185" customWidth="1"/>
    <col min="1285" max="1285" width="14.7109375" style="185" customWidth="1"/>
    <col min="1286" max="1286" width="9.7109375" style="185" customWidth="1"/>
    <col min="1287" max="1287" width="13.42578125" style="185" customWidth="1"/>
    <col min="1288" max="1288" width="9.140625" style="185"/>
    <col min="1289" max="1289" width="4.140625" style="185" customWidth="1"/>
    <col min="1290" max="1290" width="15.7109375" style="185" customWidth="1"/>
    <col min="1291" max="1291" width="7.28515625" style="185" customWidth="1"/>
    <col min="1292" max="1292" width="6" style="185" customWidth="1"/>
    <col min="1293" max="1293" width="13.28515625" style="185" customWidth="1"/>
    <col min="1294" max="1294" width="9.140625" style="185"/>
    <col min="1295" max="1295" width="6.7109375" style="185" customWidth="1"/>
    <col min="1296" max="1296" width="10.7109375" style="185" customWidth="1"/>
    <col min="1297" max="1297" width="6.5703125" style="185" customWidth="1"/>
    <col min="1298" max="1298" width="5.7109375" style="185" customWidth="1"/>
    <col min="1299" max="1299" width="15.85546875" style="185" customWidth="1"/>
    <col min="1300" max="1300" width="10" style="185" customWidth="1"/>
    <col min="1301" max="1301" width="11.5703125" style="185" customWidth="1"/>
    <col min="1302" max="1302" width="12.140625" style="185" customWidth="1"/>
    <col min="1303" max="1538" width="9.140625" style="185"/>
    <col min="1539" max="1539" width="6.42578125" style="185" customWidth="1"/>
    <col min="1540" max="1540" width="10.7109375" style="185" customWidth="1"/>
    <col min="1541" max="1541" width="14.7109375" style="185" customWidth="1"/>
    <col min="1542" max="1542" width="9.7109375" style="185" customWidth="1"/>
    <col min="1543" max="1543" width="13.42578125" style="185" customWidth="1"/>
    <col min="1544" max="1544" width="9.140625" style="185"/>
    <col min="1545" max="1545" width="4.140625" style="185" customWidth="1"/>
    <col min="1546" max="1546" width="15.7109375" style="185" customWidth="1"/>
    <col min="1547" max="1547" width="7.28515625" style="185" customWidth="1"/>
    <col min="1548" max="1548" width="6" style="185" customWidth="1"/>
    <col min="1549" max="1549" width="13.28515625" style="185" customWidth="1"/>
    <col min="1550" max="1550" width="9.140625" style="185"/>
    <col min="1551" max="1551" width="6.7109375" style="185" customWidth="1"/>
    <col min="1552" max="1552" width="10.7109375" style="185" customWidth="1"/>
    <col min="1553" max="1553" width="6.5703125" style="185" customWidth="1"/>
    <col min="1554" max="1554" width="5.7109375" style="185" customWidth="1"/>
    <col min="1555" max="1555" width="15.85546875" style="185" customWidth="1"/>
    <col min="1556" max="1556" width="10" style="185" customWidth="1"/>
    <col min="1557" max="1557" width="11.5703125" style="185" customWidth="1"/>
    <col min="1558" max="1558" width="12.140625" style="185" customWidth="1"/>
    <col min="1559" max="1794" width="9.140625" style="185"/>
    <col min="1795" max="1795" width="6.42578125" style="185" customWidth="1"/>
    <col min="1796" max="1796" width="10.7109375" style="185" customWidth="1"/>
    <col min="1797" max="1797" width="14.7109375" style="185" customWidth="1"/>
    <col min="1798" max="1798" width="9.7109375" style="185" customWidth="1"/>
    <col min="1799" max="1799" width="13.42578125" style="185" customWidth="1"/>
    <col min="1800" max="1800" width="9.140625" style="185"/>
    <col min="1801" max="1801" width="4.140625" style="185" customWidth="1"/>
    <col min="1802" max="1802" width="15.7109375" style="185" customWidth="1"/>
    <col min="1803" max="1803" width="7.28515625" style="185" customWidth="1"/>
    <col min="1804" max="1804" width="6" style="185" customWidth="1"/>
    <col min="1805" max="1805" width="13.28515625" style="185" customWidth="1"/>
    <col min="1806" max="1806" width="9.140625" style="185"/>
    <col min="1807" max="1807" width="6.7109375" style="185" customWidth="1"/>
    <col min="1808" max="1808" width="10.7109375" style="185" customWidth="1"/>
    <col min="1809" max="1809" width="6.5703125" style="185" customWidth="1"/>
    <col min="1810" max="1810" width="5.7109375" style="185" customWidth="1"/>
    <col min="1811" max="1811" width="15.85546875" style="185" customWidth="1"/>
    <col min="1812" max="1812" width="10" style="185" customWidth="1"/>
    <col min="1813" max="1813" width="11.5703125" style="185" customWidth="1"/>
    <col min="1814" max="1814" width="12.140625" style="185" customWidth="1"/>
    <col min="1815" max="2050" width="9.140625" style="185"/>
    <col min="2051" max="2051" width="6.42578125" style="185" customWidth="1"/>
    <col min="2052" max="2052" width="10.7109375" style="185" customWidth="1"/>
    <col min="2053" max="2053" width="14.7109375" style="185" customWidth="1"/>
    <col min="2054" max="2054" width="9.7109375" style="185" customWidth="1"/>
    <col min="2055" max="2055" width="13.42578125" style="185" customWidth="1"/>
    <col min="2056" max="2056" width="9.140625" style="185"/>
    <col min="2057" max="2057" width="4.140625" style="185" customWidth="1"/>
    <col min="2058" max="2058" width="15.7109375" style="185" customWidth="1"/>
    <col min="2059" max="2059" width="7.28515625" style="185" customWidth="1"/>
    <col min="2060" max="2060" width="6" style="185" customWidth="1"/>
    <col min="2061" max="2061" width="13.28515625" style="185" customWidth="1"/>
    <col min="2062" max="2062" width="9.140625" style="185"/>
    <col min="2063" max="2063" width="6.7109375" style="185" customWidth="1"/>
    <col min="2064" max="2064" width="10.7109375" style="185" customWidth="1"/>
    <col min="2065" max="2065" width="6.5703125" style="185" customWidth="1"/>
    <col min="2066" max="2066" width="5.7109375" style="185" customWidth="1"/>
    <col min="2067" max="2067" width="15.85546875" style="185" customWidth="1"/>
    <col min="2068" max="2068" width="10" style="185" customWidth="1"/>
    <col min="2069" max="2069" width="11.5703125" style="185" customWidth="1"/>
    <col min="2070" max="2070" width="12.140625" style="185" customWidth="1"/>
    <col min="2071" max="2306" width="9.140625" style="185"/>
    <col min="2307" max="2307" width="6.42578125" style="185" customWidth="1"/>
    <col min="2308" max="2308" width="10.7109375" style="185" customWidth="1"/>
    <col min="2309" max="2309" width="14.7109375" style="185" customWidth="1"/>
    <col min="2310" max="2310" width="9.7109375" style="185" customWidth="1"/>
    <col min="2311" max="2311" width="13.42578125" style="185" customWidth="1"/>
    <col min="2312" max="2312" width="9.140625" style="185"/>
    <col min="2313" max="2313" width="4.140625" style="185" customWidth="1"/>
    <col min="2314" max="2314" width="15.7109375" style="185" customWidth="1"/>
    <col min="2315" max="2315" width="7.28515625" style="185" customWidth="1"/>
    <col min="2316" max="2316" width="6" style="185" customWidth="1"/>
    <col min="2317" max="2317" width="13.28515625" style="185" customWidth="1"/>
    <col min="2318" max="2318" width="9.140625" style="185"/>
    <col min="2319" max="2319" width="6.7109375" style="185" customWidth="1"/>
    <col min="2320" max="2320" width="10.7109375" style="185" customWidth="1"/>
    <col min="2321" max="2321" width="6.5703125" style="185" customWidth="1"/>
    <col min="2322" max="2322" width="5.7109375" style="185" customWidth="1"/>
    <col min="2323" max="2323" width="15.85546875" style="185" customWidth="1"/>
    <col min="2324" max="2324" width="10" style="185" customWidth="1"/>
    <col min="2325" max="2325" width="11.5703125" style="185" customWidth="1"/>
    <col min="2326" max="2326" width="12.140625" style="185" customWidth="1"/>
    <col min="2327" max="2562" width="9.140625" style="185"/>
    <col min="2563" max="2563" width="6.42578125" style="185" customWidth="1"/>
    <col min="2564" max="2564" width="10.7109375" style="185" customWidth="1"/>
    <col min="2565" max="2565" width="14.7109375" style="185" customWidth="1"/>
    <col min="2566" max="2566" width="9.7109375" style="185" customWidth="1"/>
    <col min="2567" max="2567" width="13.42578125" style="185" customWidth="1"/>
    <col min="2568" max="2568" width="9.140625" style="185"/>
    <col min="2569" max="2569" width="4.140625" style="185" customWidth="1"/>
    <col min="2570" max="2570" width="15.7109375" style="185" customWidth="1"/>
    <col min="2571" max="2571" width="7.28515625" style="185" customWidth="1"/>
    <col min="2572" max="2572" width="6" style="185" customWidth="1"/>
    <col min="2573" max="2573" width="13.28515625" style="185" customWidth="1"/>
    <col min="2574" max="2574" width="9.140625" style="185"/>
    <col min="2575" max="2575" width="6.7109375" style="185" customWidth="1"/>
    <col min="2576" max="2576" width="10.7109375" style="185" customWidth="1"/>
    <col min="2577" max="2577" width="6.5703125" style="185" customWidth="1"/>
    <col min="2578" max="2578" width="5.7109375" style="185" customWidth="1"/>
    <col min="2579" max="2579" width="15.85546875" style="185" customWidth="1"/>
    <col min="2580" max="2580" width="10" style="185" customWidth="1"/>
    <col min="2581" max="2581" width="11.5703125" style="185" customWidth="1"/>
    <col min="2582" max="2582" width="12.140625" style="185" customWidth="1"/>
    <col min="2583" max="2818" width="9.140625" style="185"/>
    <col min="2819" max="2819" width="6.42578125" style="185" customWidth="1"/>
    <col min="2820" max="2820" width="10.7109375" style="185" customWidth="1"/>
    <col min="2821" max="2821" width="14.7109375" style="185" customWidth="1"/>
    <col min="2822" max="2822" width="9.7109375" style="185" customWidth="1"/>
    <col min="2823" max="2823" width="13.42578125" style="185" customWidth="1"/>
    <col min="2824" max="2824" width="9.140625" style="185"/>
    <col min="2825" max="2825" width="4.140625" style="185" customWidth="1"/>
    <col min="2826" max="2826" width="15.7109375" style="185" customWidth="1"/>
    <col min="2827" max="2827" width="7.28515625" style="185" customWidth="1"/>
    <col min="2828" max="2828" width="6" style="185" customWidth="1"/>
    <col min="2829" max="2829" width="13.28515625" style="185" customWidth="1"/>
    <col min="2830" max="2830" width="9.140625" style="185"/>
    <col min="2831" max="2831" width="6.7109375" style="185" customWidth="1"/>
    <col min="2832" max="2832" width="10.7109375" style="185" customWidth="1"/>
    <col min="2833" max="2833" width="6.5703125" style="185" customWidth="1"/>
    <col min="2834" max="2834" width="5.7109375" style="185" customWidth="1"/>
    <col min="2835" max="2835" width="15.85546875" style="185" customWidth="1"/>
    <col min="2836" max="2836" width="10" style="185" customWidth="1"/>
    <col min="2837" max="2837" width="11.5703125" style="185" customWidth="1"/>
    <col min="2838" max="2838" width="12.140625" style="185" customWidth="1"/>
    <col min="2839" max="3074" width="9.140625" style="185"/>
    <col min="3075" max="3075" width="6.42578125" style="185" customWidth="1"/>
    <col min="3076" max="3076" width="10.7109375" style="185" customWidth="1"/>
    <col min="3077" max="3077" width="14.7109375" style="185" customWidth="1"/>
    <col min="3078" max="3078" width="9.7109375" style="185" customWidth="1"/>
    <col min="3079" max="3079" width="13.42578125" style="185" customWidth="1"/>
    <col min="3080" max="3080" width="9.140625" style="185"/>
    <col min="3081" max="3081" width="4.140625" style="185" customWidth="1"/>
    <col min="3082" max="3082" width="15.7109375" style="185" customWidth="1"/>
    <col min="3083" max="3083" width="7.28515625" style="185" customWidth="1"/>
    <col min="3084" max="3084" width="6" style="185" customWidth="1"/>
    <col min="3085" max="3085" width="13.28515625" style="185" customWidth="1"/>
    <col min="3086" max="3086" width="9.140625" style="185"/>
    <col min="3087" max="3087" width="6.7109375" style="185" customWidth="1"/>
    <col min="3088" max="3088" width="10.7109375" style="185" customWidth="1"/>
    <col min="3089" max="3089" width="6.5703125" style="185" customWidth="1"/>
    <col min="3090" max="3090" width="5.7109375" style="185" customWidth="1"/>
    <col min="3091" max="3091" width="15.85546875" style="185" customWidth="1"/>
    <col min="3092" max="3092" width="10" style="185" customWidth="1"/>
    <col min="3093" max="3093" width="11.5703125" style="185" customWidth="1"/>
    <col min="3094" max="3094" width="12.140625" style="185" customWidth="1"/>
    <col min="3095" max="3330" width="9.140625" style="185"/>
    <col min="3331" max="3331" width="6.42578125" style="185" customWidth="1"/>
    <col min="3332" max="3332" width="10.7109375" style="185" customWidth="1"/>
    <col min="3333" max="3333" width="14.7109375" style="185" customWidth="1"/>
    <col min="3334" max="3334" width="9.7109375" style="185" customWidth="1"/>
    <col min="3335" max="3335" width="13.42578125" style="185" customWidth="1"/>
    <col min="3336" max="3336" width="9.140625" style="185"/>
    <col min="3337" max="3337" width="4.140625" style="185" customWidth="1"/>
    <col min="3338" max="3338" width="15.7109375" style="185" customWidth="1"/>
    <col min="3339" max="3339" width="7.28515625" style="185" customWidth="1"/>
    <col min="3340" max="3340" width="6" style="185" customWidth="1"/>
    <col min="3341" max="3341" width="13.28515625" style="185" customWidth="1"/>
    <col min="3342" max="3342" width="9.140625" style="185"/>
    <col min="3343" max="3343" width="6.7109375" style="185" customWidth="1"/>
    <col min="3344" max="3344" width="10.7109375" style="185" customWidth="1"/>
    <col min="3345" max="3345" width="6.5703125" style="185" customWidth="1"/>
    <col min="3346" max="3346" width="5.7109375" style="185" customWidth="1"/>
    <col min="3347" max="3347" width="15.85546875" style="185" customWidth="1"/>
    <col min="3348" max="3348" width="10" style="185" customWidth="1"/>
    <col min="3349" max="3349" width="11.5703125" style="185" customWidth="1"/>
    <col min="3350" max="3350" width="12.140625" style="185" customWidth="1"/>
    <col min="3351" max="3586" width="9.140625" style="185"/>
    <col min="3587" max="3587" width="6.42578125" style="185" customWidth="1"/>
    <col min="3588" max="3588" width="10.7109375" style="185" customWidth="1"/>
    <col min="3589" max="3589" width="14.7109375" style="185" customWidth="1"/>
    <col min="3590" max="3590" width="9.7109375" style="185" customWidth="1"/>
    <col min="3591" max="3591" width="13.42578125" style="185" customWidth="1"/>
    <col min="3592" max="3592" width="9.140625" style="185"/>
    <col min="3593" max="3593" width="4.140625" style="185" customWidth="1"/>
    <col min="3594" max="3594" width="15.7109375" style="185" customWidth="1"/>
    <col min="3595" max="3595" width="7.28515625" style="185" customWidth="1"/>
    <col min="3596" max="3596" width="6" style="185" customWidth="1"/>
    <col min="3597" max="3597" width="13.28515625" style="185" customWidth="1"/>
    <col min="3598" max="3598" width="9.140625" style="185"/>
    <col min="3599" max="3599" width="6.7109375" style="185" customWidth="1"/>
    <col min="3600" max="3600" width="10.7109375" style="185" customWidth="1"/>
    <col min="3601" max="3601" width="6.5703125" style="185" customWidth="1"/>
    <col min="3602" max="3602" width="5.7109375" style="185" customWidth="1"/>
    <col min="3603" max="3603" width="15.85546875" style="185" customWidth="1"/>
    <col min="3604" max="3604" width="10" style="185" customWidth="1"/>
    <col min="3605" max="3605" width="11.5703125" style="185" customWidth="1"/>
    <col min="3606" max="3606" width="12.140625" style="185" customWidth="1"/>
    <col min="3607" max="3842" width="9.140625" style="185"/>
    <col min="3843" max="3843" width="6.42578125" style="185" customWidth="1"/>
    <col min="3844" max="3844" width="10.7109375" style="185" customWidth="1"/>
    <col min="3845" max="3845" width="14.7109375" style="185" customWidth="1"/>
    <col min="3846" max="3846" width="9.7109375" style="185" customWidth="1"/>
    <col min="3847" max="3847" width="13.42578125" style="185" customWidth="1"/>
    <col min="3848" max="3848" width="9.140625" style="185"/>
    <col min="3849" max="3849" width="4.140625" style="185" customWidth="1"/>
    <col min="3850" max="3850" width="15.7109375" style="185" customWidth="1"/>
    <col min="3851" max="3851" width="7.28515625" style="185" customWidth="1"/>
    <col min="3852" max="3852" width="6" style="185" customWidth="1"/>
    <col min="3853" max="3853" width="13.28515625" style="185" customWidth="1"/>
    <col min="3854" max="3854" width="9.140625" style="185"/>
    <col min="3855" max="3855" width="6.7109375" style="185" customWidth="1"/>
    <col min="3856" max="3856" width="10.7109375" style="185" customWidth="1"/>
    <col min="3857" max="3857" width="6.5703125" style="185" customWidth="1"/>
    <col min="3858" max="3858" width="5.7109375" style="185" customWidth="1"/>
    <col min="3859" max="3859" width="15.85546875" style="185" customWidth="1"/>
    <col min="3860" max="3860" width="10" style="185" customWidth="1"/>
    <col min="3861" max="3861" width="11.5703125" style="185" customWidth="1"/>
    <col min="3862" max="3862" width="12.140625" style="185" customWidth="1"/>
    <col min="3863" max="4098" width="9.140625" style="185"/>
    <col min="4099" max="4099" width="6.42578125" style="185" customWidth="1"/>
    <col min="4100" max="4100" width="10.7109375" style="185" customWidth="1"/>
    <col min="4101" max="4101" width="14.7109375" style="185" customWidth="1"/>
    <col min="4102" max="4102" width="9.7109375" style="185" customWidth="1"/>
    <col min="4103" max="4103" width="13.42578125" style="185" customWidth="1"/>
    <col min="4104" max="4104" width="9.140625" style="185"/>
    <col min="4105" max="4105" width="4.140625" style="185" customWidth="1"/>
    <col min="4106" max="4106" width="15.7109375" style="185" customWidth="1"/>
    <col min="4107" max="4107" width="7.28515625" style="185" customWidth="1"/>
    <col min="4108" max="4108" width="6" style="185" customWidth="1"/>
    <col min="4109" max="4109" width="13.28515625" style="185" customWidth="1"/>
    <col min="4110" max="4110" width="9.140625" style="185"/>
    <col min="4111" max="4111" width="6.7109375" style="185" customWidth="1"/>
    <col min="4112" max="4112" width="10.7109375" style="185" customWidth="1"/>
    <col min="4113" max="4113" width="6.5703125" style="185" customWidth="1"/>
    <col min="4114" max="4114" width="5.7109375" style="185" customWidth="1"/>
    <col min="4115" max="4115" width="15.85546875" style="185" customWidth="1"/>
    <col min="4116" max="4116" width="10" style="185" customWidth="1"/>
    <col min="4117" max="4117" width="11.5703125" style="185" customWidth="1"/>
    <col min="4118" max="4118" width="12.140625" style="185" customWidth="1"/>
    <col min="4119" max="4354" width="9.140625" style="185"/>
    <col min="4355" max="4355" width="6.42578125" style="185" customWidth="1"/>
    <col min="4356" max="4356" width="10.7109375" style="185" customWidth="1"/>
    <col min="4357" max="4357" width="14.7109375" style="185" customWidth="1"/>
    <col min="4358" max="4358" width="9.7109375" style="185" customWidth="1"/>
    <col min="4359" max="4359" width="13.42578125" style="185" customWidth="1"/>
    <col min="4360" max="4360" width="9.140625" style="185"/>
    <col min="4361" max="4361" width="4.140625" style="185" customWidth="1"/>
    <col min="4362" max="4362" width="15.7109375" style="185" customWidth="1"/>
    <col min="4363" max="4363" width="7.28515625" style="185" customWidth="1"/>
    <col min="4364" max="4364" width="6" style="185" customWidth="1"/>
    <col min="4365" max="4365" width="13.28515625" style="185" customWidth="1"/>
    <col min="4366" max="4366" width="9.140625" style="185"/>
    <col min="4367" max="4367" width="6.7109375" style="185" customWidth="1"/>
    <col min="4368" max="4368" width="10.7109375" style="185" customWidth="1"/>
    <col min="4369" max="4369" width="6.5703125" style="185" customWidth="1"/>
    <col min="4370" max="4370" width="5.7109375" style="185" customWidth="1"/>
    <col min="4371" max="4371" width="15.85546875" style="185" customWidth="1"/>
    <col min="4372" max="4372" width="10" style="185" customWidth="1"/>
    <col min="4373" max="4373" width="11.5703125" style="185" customWidth="1"/>
    <col min="4374" max="4374" width="12.140625" style="185" customWidth="1"/>
    <col min="4375" max="4610" width="9.140625" style="185"/>
    <col min="4611" max="4611" width="6.42578125" style="185" customWidth="1"/>
    <col min="4612" max="4612" width="10.7109375" style="185" customWidth="1"/>
    <col min="4613" max="4613" width="14.7109375" style="185" customWidth="1"/>
    <col min="4614" max="4614" width="9.7109375" style="185" customWidth="1"/>
    <col min="4615" max="4615" width="13.42578125" style="185" customWidth="1"/>
    <col min="4616" max="4616" width="9.140625" style="185"/>
    <col min="4617" max="4617" width="4.140625" style="185" customWidth="1"/>
    <col min="4618" max="4618" width="15.7109375" style="185" customWidth="1"/>
    <col min="4619" max="4619" width="7.28515625" style="185" customWidth="1"/>
    <col min="4620" max="4620" width="6" style="185" customWidth="1"/>
    <col min="4621" max="4621" width="13.28515625" style="185" customWidth="1"/>
    <col min="4622" max="4622" width="9.140625" style="185"/>
    <col min="4623" max="4623" width="6.7109375" style="185" customWidth="1"/>
    <col min="4624" max="4624" width="10.7109375" style="185" customWidth="1"/>
    <col min="4625" max="4625" width="6.5703125" style="185" customWidth="1"/>
    <col min="4626" max="4626" width="5.7109375" style="185" customWidth="1"/>
    <col min="4627" max="4627" width="15.85546875" style="185" customWidth="1"/>
    <col min="4628" max="4628" width="10" style="185" customWidth="1"/>
    <col min="4629" max="4629" width="11.5703125" style="185" customWidth="1"/>
    <col min="4630" max="4630" width="12.140625" style="185" customWidth="1"/>
    <col min="4631" max="4866" width="9.140625" style="185"/>
    <col min="4867" max="4867" width="6.42578125" style="185" customWidth="1"/>
    <col min="4868" max="4868" width="10.7109375" style="185" customWidth="1"/>
    <col min="4869" max="4869" width="14.7109375" style="185" customWidth="1"/>
    <col min="4870" max="4870" width="9.7109375" style="185" customWidth="1"/>
    <col min="4871" max="4871" width="13.42578125" style="185" customWidth="1"/>
    <col min="4872" max="4872" width="9.140625" style="185"/>
    <col min="4873" max="4873" width="4.140625" style="185" customWidth="1"/>
    <col min="4874" max="4874" width="15.7109375" style="185" customWidth="1"/>
    <col min="4875" max="4875" width="7.28515625" style="185" customWidth="1"/>
    <col min="4876" max="4876" width="6" style="185" customWidth="1"/>
    <col min="4877" max="4877" width="13.28515625" style="185" customWidth="1"/>
    <col min="4878" max="4878" width="9.140625" style="185"/>
    <col min="4879" max="4879" width="6.7109375" style="185" customWidth="1"/>
    <col min="4880" max="4880" width="10.7109375" style="185" customWidth="1"/>
    <col min="4881" max="4881" width="6.5703125" style="185" customWidth="1"/>
    <col min="4882" max="4882" width="5.7109375" style="185" customWidth="1"/>
    <col min="4883" max="4883" width="15.85546875" style="185" customWidth="1"/>
    <col min="4884" max="4884" width="10" style="185" customWidth="1"/>
    <col min="4885" max="4885" width="11.5703125" style="185" customWidth="1"/>
    <col min="4886" max="4886" width="12.140625" style="185" customWidth="1"/>
    <col min="4887" max="5122" width="9.140625" style="185"/>
    <col min="5123" max="5123" width="6.42578125" style="185" customWidth="1"/>
    <col min="5124" max="5124" width="10.7109375" style="185" customWidth="1"/>
    <col min="5125" max="5125" width="14.7109375" style="185" customWidth="1"/>
    <col min="5126" max="5126" width="9.7109375" style="185" customWidth="1"/>
    <col min="5127" max="5127" width="13.42578125" style="185" customWidth="1"/>
    <col min="5128" max="5128" width="9.140625" style="185"/>
    <col min="5129" max="5129" width="4.140625" style="185" customWidth="1"/>
    <col min="5130" max="5130" width="15.7109375" style="185" customWidth="1"/>
    <col min="5131" max="5131" width="7.28515625" style="185" customWidth="1"/>
    <col min="5132" max="5132" width="6" style="185" customWidth="1"/>
    <col min="5133" max="5133" width="13.28515625" style="185" customWidth="1"/>
    <col min="5134" max="5134" width="9.140625" style="185"/>
    <col min="5135" max="5135" width="6.7109375" style="185" customWidth="1"/>
    <col min="5136" max="5136" width="10.7109375" style="185" customWidth="1"/>
    <col min="5137" max="5137" width="6.5703125" style="185" customWidth="1"/>
    <col min="5138" max="5138" width="5.7109375" style="185" customWidth="1"/>
    <col min="5139" max="5139" width="15.85546875" style="185" customWidth="1"/>
    <col min="5140" max="5140" width="10" style="185" customWidth="1"/>
    <col min="5141" max="5141" width="11.5703125" style="185" customWidth="1"/>
    <col min="5142" max="5142" width="12.140625" style="185" customWidth="1"/>
    <col min="5143" max="5378" width="9.140625" style="185"/>
    <col min="5379" max="5379" width="6.42578125" style="185" customWidth="1"/>
    <col min="5380" max="5380" width="10.7109375" style="185" customWidth="1"/>
    <col min="5381" max="5381" width="14.7109375" style="185" customWidth="1"/>
    <col min="5382" max="5382" width="9.7109375" style="185" customWidth="1"/>
    <col min="5383" max="5383" width="13.42578125" style="185" customWidth="1"/>
    <col min="5384" max="5384" width="9.140625" style="185"/>
    <col min="5385" max="5385" width="4.140625" style="185" customWidth="1"/>
    <col min="5386" max="5386" width="15.7109375" style="185" customWidth="1"/>
    <col min="5387" max="5387" width="7.28515625" style="185" customWidth="1"/>
    <col min="5388" max="5388" width="6" style="185" customWidth="1"/>
    <col min="5389" max="5389" width="13.28515625" style="185" customWidth="1"/>
    <col min="5390" max="5390" width="9.140625" style="185"/>
    <col min="5391" max="5391" width="6.7109375" style="185" customWidth="1"/>
    <col min="5392" max="5392" width="10.7109375" style="185" customWidth="1"/>
    <col min="5393" max="5393" width="6.5703125" style="185" customWidth="1"/>
    <col min="5394" max="5394" width="5.7109375" style="185" customWidth="1"/>
    <col min="5395" max="5395" width="15.85546875" style="185" customWidth="1"/>
    <col min="5396" max="5396" width="10" style="185" customWidth="1"/>
    <col min="5397" max="5397" width="11.5703125" style="185" customWidth="1"/>
    <col min="5398" max="5398" width="12.140625" style="185" customWidth="1"/>
    <col min="5399" max="5634" width="9.140625" style="185"/>
    <col min="5635" max="5635" width="6.42578125" style="185" customWidth="1"/>
    <col min="5636" max="5636" width="10.7109375" style="185" customWidth="1"/>
    <col min="5637" max="5637" width="14.7109375" style="185" customWidth="1"/>
    <col min="5638" max="5638" width="9.7109375" style="185" customWidth="1"/>
    <col min="5639" max="5639" width="13.42578125" style="185" customWidth="1"/>
    <col min="5640" max="5640" width="9.140625" style="185"/>
    <col min="5641" max="5641" width="4.140625" style="185" customWidth="1"/>
    <col min="5642" max="5642" width="15.7109375" style="185" customWidth="1"/>
    <col min="5643" max="5643" width="7.28515625" style="185" customWidth="1"/>
    <col min="5644" max="5644" width="6" style="185" customWidth="1"/>
    <col min="5645" max="5645" width="13.28515625" style="185" customWidth="1"/>
    <col min="5646" max="5646" width="9.140625" style="185"/>
    <col min="5647" max="5647" width="6.7109375" style="185" customWidth="1"/>
    <col min="5648" max="5648" width="10.7109375" style="185" customWidth="1"/>
    <col min="5649" max="5649" width="6.5703125" style="185" customWidth="1"/>
    <col min="5650" max="5650" width="5.7109375" style="185" customWidth="1"/>
    <col min="5651" max="5651" width="15.85546875" style="185" customWidth="1"/>
    <col min="5652" max="5652" width="10" style="185" customWidth="1"/>
    <col min="5653" max="5653" width="11.5703125" style="185" customWidth="1"/>
    <col min="5654" max="5654" width="12.140625" style="185" customWidth="1"/>
    <col min="5655" max="5890" width="9.140625" style="185"/>
    <col min="5891" max="5891" width="6.42578125" style="185" customWidth="1"/>
    <col min="5892" max="5892" width="10.7109375" style="185" customWidth="1"/>
    <col min="5893" max="5893" width="14.7109375" style="185" customWidth="1"/>
    <col min="5894" max="5894" width="9.7109375" style="185" customWidth="1"/>
    <col min="5895" max="5895" width="13.42578125" style="185" customWidth="1"/>
    <col min="5896" max="5896" width="9.140625" style="185"/>
    <col min="5897" max="5897" width="4.140625" style="185" customWidth="1"/>
    <col min="5898" max="5898" width="15.7109375" style="185" customWidth="1"/>
    <col min="5899" max="5899" width="7.28515625" style="185" customWidth="1"/>
    <col min="5900" max="5900" width="6" style="185" customWidth="1"/>
    <col min="5901" max="5901" width="13.28515625" style="185" customWidth="1"/>
    <col min="5902" max="5902" width="9.140625" style="185"/>
    <col min="5903" max="5903" width="6.7109375" style="185" customWidth="1"/>
    <col min="5904" max="5904" width="10.7109375" style="185" customWidth="1"/>
    <col min="5905" max="5905" width="6.5703125" style="185" customWidth="1"/>
    <col min="5906" max="5906" width="5.7109375" style="185" customWidth="1"/>
    <col min="5907" max="5907" width="15.85546875" style="185" customWidth="1"/>
    <col min="5908" max="5908" width="10" style="185" customWidth="1"/>
    <col min="5909" max="5909" width="11.5703125" style="185" customWidth="1"/>
    <col min="5910" max="5910" width="12.140625" style="185" customWidth="1"/>
    <col min="5911" max="6146" width="9.140625" style="185"/>
    <col min="6147" max="6147" width="6.42578125" style="185" customWidth="1"/>
    <col min="6148" max="6148" width="10.7109375" style="185" customWidth="1"/>
    <col min="6149" max="6149" width="14.7109375" style="185" customWidth="1"/>
    <col min="6150" max="6150" width="9.7109375" style="185" customWidth="1"/>
    <col min="6151" max="6151" width="13.42578125" style="185" customWidth="1"/>
    <col min="6152" max="6152" width="9.140625" style="185"/>
    <col min="6153" max="6153" width="4.140625" style="185" customWidth="1"/>
    <col min="6154" max="6154" width="15.7109375" style="185" customWidth="1"/>
    <col min="6155" max="6155" width="7.28515625" style="185" customWidth="1"/>
    <col min="6156" max="6156" width="6" style="185" customWidth="1"/>
    <col min="6157" max="6157" width="13.28515625" style="185" customWidth="1"/>
    <col min="6158" max="6158" width="9.140625" style="185"/>
    <col min="6159" max="6159" width="6.7109375" style="185" customWidth="1"/>
    <col min="6160" max="6160" width="10.7109375" style="185" customWidth="1"/>
    <col min="6161" max="6161" width="6.5703125" style="185" customWidth="1"/>
    <col min="6162" max="6162" width="5.7109375" style="185" customWidth="1"/>
    <col min="6163" max="6163" width="15.85546875" style="185" customWidth="1"/>
    <col min="6164" max="6164" width="10" style="185" customWidth="1"/>
    <col min="6165" max="6165" width="11.5703125" style="185" customWidth="1"/>
    <col min="6166" max="6166" width="12.140625" style="185" customWidth="1"/>
    <col min="6167" max="6402" width="9.140625" style="185"/>
    <col min="6403" max="6403" width="6.42578125" style="185" customWidth="1"/>
    <col min="6404" max="6404" width="10.7109375" style="185" customWidth="1"/>
    <col min="6405" max="6405" width="14.7109375" style="185" customWidth="1"/>
    <col min="6406" max="6406" width="9.7109375" style="185" customWidth="1"/>
    <col min="6407" max="6407" width="13.42578125" style="185" customWidth="1"/>
    <col min="6408" max="6408" width="9.140625" style="185"/>
    <col min="6409" max="6409" width="4.140625" style="185" customWidth="1"/>
    <col min="6410" max="6410" width="15.7109375" style="185" customWidth="1"/>
    <col min="6411" max="6411" width="7.28515625" style="185" customWidth="1"/>
    <col min="6412" max="6412" width="6" style="185" customWidth="1"/>
    <col min="6413" max="6413" width="13.28515625" style="185" customWidth="1"/>
    <col min="6414" max="6414" width="9.140625" style="185"/>
    <col min="6415" max="6415" width="6.7109375" style="185" customWidth="1"/>
    <col min="6416" max="6416" width="10.7109375" style="185" customWidth="1"/>
    <col min="6417" max="6417" width="6.5703125" style="185" customWidth="1"/>
    <col min="6418" max="6418" width="5.7109375" style="185" customWidth="1"/>
    <col min="6419" max="6419" width="15.85546875" style="185" customWidth="1"/>
    <col min="6420" max="6420" width="10" style="185" customWidth="1"/>
    <col min="6421" max="6421" width="11.5703125" style="185" customWidth="1"/>
    <col min="6422" max="6422" width="12.140625" style="185" customWidth="1"/>
    <col min="6423" max="6658" width="9.140625" style="185"/>
    <col min="6659" max="6659" width="6.42578125" style="185" customWidth="1"/>
    <col min="6660" max="6660" width="10.7109375" style="185" customWidth="1"/>
    <col min="6661" max="6661" width="14.7109375" style="185" customWidth="1"/>
    <col min="6662" max="6662" width="9.7109375" style="185" customWidth="1"/>
    <col min="6663" max="6663" width="13.42578125" style="185" customWidth="1"/>
    <col min="6664" max="6664" width="9.140625" style="185"/>
    <col min="6665" max="6665" width="4.140625" style="185" customWidth="1"/>
    <col min="6666" max="6666" width="15.7109375" style="185" customWidth="1"/>
    <col min="6667" max="6667" width="7.28515625" style="185" customWidth="1"/>
    <col min="6668" max="6668" width="6" style="185" customWidth="1"/>
    <col min="6669" max="6669" width="13.28515625" style="185" customWidth="1"/>
    <col min="6670" max="6670" width="9.140625" style="185"/>
    <col min="6671" max="6671" width="6.7109375" style="185" customWidth="1"/>
    <col min="6672" max="6672" width="10.7109375" style="185" customWidth="1"/>
    <col min="6673" max="6673" width="6.5703125" style="185" customWidth="1"/>
    <col min="6674" max="6674" width="5.7109375" style="185" customWidth="1"/>
    <col min="6675" max="6675" width="15.85546875" style="185" customWidth="1"/>
    <col min="6676" max="6676" width="10" style="185" customWidth="1"/>
    <col min="6677" max="6677" width="11.5703125" style="185" customWidth="1"/>
    <col min="6678" max="6678" width="12.140625" style="185" customWidth="1"/>
    <col min="6679" max="6914" width="9.140625" style="185"/>
    <col min="6915" max="6915" width="6.42578125" style="185" customWidth="1"/>
    <col min="6916" max="6916" width="10.7109375" style="185" customWidth="1"/>
    <col min="6917" max="6917" width="14.7109375" style="185" customWidth="1"/>
    <col min="6918" max="6918" width="9.7109375" style="185" customWidth="1"/>
    <col min="6919" max="6919" width="13.42578125" style="185" customWidth="1"/>
    <col min="6920" max="6920" width="9.140625" style="185"/>
    <col min="6921" max="6921" width="4.140625" style="185" customWidth="1"/>
    <col min="6922" max="6922" width="15.7109375" style="185" customWidth="1"/>
    <col min="6923" max="6923" width="7.28515625" style="185" customWidth="1"/>
    <col min="6924" max="6924" width="6" style="185" customWidth="1"/>
    <col min="6925" max="6925" width="13.28515625" style="185" customWidth="1"/>
    <col min="6926" max="6926" width="9.140625" style="185"/>
    <col min="6927" max="6927" width="6.7109375" style="185" customWidth="1"/>
    <col min="6928" max="6928" width="10.7109375" style="185" customWidth="1"/>
    <col min="6929" max="6929" width="6.5703125" style="185" customWidth="1"/>
    <col min="6930" max="6930" width="5.7109375" style="185" customWidth="1"/>
    <col min="6931" max="6931" width="15.85546875" style="185" customWidth="1"/>
    <col min="6932" max="6932" width="10" style="185" customWidth="1"/>
    <col min="6933" max="6933" width="11.5703125" style="185" customWidth="1"/>
    <col min="6934" max="6934" width="12.140625" style="185" customWidth="1"/>
    <col min="6935" max="7170" width="9.140625" style="185"/>
    <col min="7171" max="7171" width="6.42578125" style="185" customWidth="1"/>
    <col min="7172" max="7172" width="10.7109375" style="185" customWidth="1"/>
    <col min="7173" max="7173" width="14.7109375" style="185" customWidth="1"/>
    <col min="7174" max="7174" width="9.7109375" style="185" customWidth="1"/>
    <col min="7175" max="7175" width="13.42578125" style="185" customWidth="1"/>
    <col min="7176" max="7176" width="9.140625" style="185"/>
    <col min="7177" max="7177" width="4.140625" style="185" customWidth="1"/>
    <col min="7178" max="7178" width="15.7109375" style="185" customWidth="1"/>
    <col min="7179" max="7179" width="7.28515625" style="185" customWidth="1"/>
    <col min="7180" max="7180" width="6" style="185" customWidth="1"/>
    <col min="7181" max="7181" width="13.28515625" style="185" customWidth="1"/>
    <col min="7182" max="7182" width="9.140625" style="185"/>
    <col min="7183" max="7183" width="6.7109375" style="185" customWidth="1"/>
    <col min="7184" max="7184" width="10.7109375" style="185" customWidth="1"/>
    <col min="7185" max="7185" width="6.5703125" style="185" customWidth="1"/>
    <col min="7186" max="7186" width="5.7109375" style="185" customWidth="1"/>
    <col min="7187" max="7187" width="15.85546875" style="185" customWidth="1"/>
    <col min="7188" max="7188" width="10" style="185" customWidth="1"/>
    <col min="7189" max="7189" width="11.5703125" style="185" customWidth="1"/>
    <col min="7190" max="7190" width="12.140625" style="185" customWidth="1"/>
    <col min="7191" max="7426" width="9.140625" style="185"/>
    <col min="7427" max="7427" width="6.42578125" style="185" customWidth="1"/>
    <col min="7428" max="7428" width="10.7109375" style="185" customWidth="1"/>
    <col min="7429" max="7429" width="14.7109375" style="185" customWidth="1"/>
    <col min="7430" max="7430" width="9.7109375" style="185" customWidth="1"/>
    <col min="7431" max="7431" width="13.42578125" style="185" customWidth="1"/>
    <col min="7432" max="7432" width="9.140625" style="185"/>
    <col min="7433" max="7433" width="4.140625" style="185" customWidth="1"/>
    <col min="7434" max="7434" width="15.7109375" style="185" customWidth="1"/>
    <col min="7435" max="7435" width="7.28515625" style="185" customWidth="1"/>
    <col min="7436" max="7436" width="6" style="185" customWidth="1"/>
    <col min="7437" max="7437" width="13.28515625" style="185" customWidth="1"/>
    <col min="7438" max="7438" width="9.140625" style="185"/>
    <col min="7439" max="7439" width="6.7109375" style="185" customWidth="1"/>
    <col min="7440" max="7440" width="10.7109375" style="185" customWidth="1"/>
    <col min="7441" max="7441" width="6.5703125" style="185" customWidth="1"/>
    <col min="7442" max="7442" width="5.7109375" style="185" customWidth="1"/>
    <col min="7443" max="7443" width="15.85546875" style="185" customWidth="1"/>
    <col min="7444" max="7444" width="10" style="185" customWidth="1"/>
    <col min="7445" max="7445" width="11.5703125" style="185" customWidth="1"/>
    <col min="7446" max="7446" width="12.140625" style="185" customWidth="1"/>
    <col min="7447" max="7682" width="9.140625" style="185"/>
    <col min="7683" max="7683" width="6.42578125" style="185" customWidth="1"/>
    <col min="7684" max="7684" width="10.7109375" style="185" customWidth="1"/>
    <col min="7685" max="7685" width="14.7109375" style="185" customWidth="1"/>
    <col min="7686" max="7686" width="9.7109375" style="185" customWidth="1"/>
    <col min="7687" max="7687" width="13.42578125" style="185" customWidth="1"/>
    <col min="7688" max="7688" width="9.140625" style="185"/>
    <col min="7689" max="7689" width="4.140625" style="185" customWidth="1"/>
    <col min="7690" max="7690" width="15.7109375" style="185" customWidth="1"/>
    <col min="7691" max="7691" width="7.28515625" style="185" customWidth="1"/>
    <col min="7692" max="7692" width="6" style="185" customWidth="1"/>
    <col min="7693" max="7693" width="13.28515625" style="185" customWidth="1"/>
    <col min="7694" max="7694" width="9.140625" style="185"/>
    <col min="7695" max="7695" width="6.7109375" style="185" customWidth="1"/>
    <col min="7696" max="7696" width="10.7109375" style="185" customWidth="1"/>
    <col min="7697" max="7697" width="6.5703125" style="185" customWidth="1"/>
    <col min="7698" max="7698" width="5.7109375" style="185" customWidth="1"/>
    <col min="7699" max="7699" width="15.85546875" style="185" customWidth="1"/>
    <col min="7700" max="7700" width="10" style="185" customWidth="1"/>
    <col min="7701" max="7701" width="11.5703125" style="185" customWidth="1"/>
    <col min="7702" max="7702" width="12.140625" style="185" customWidth="1"/>
    <col min="7703" max="7938" width="9.140625" style="185"/>
    <col min="7939" max="7939" width="6.42578125" style="185" customWidth="1"/>
    <col min="7940" max="7940" width="10.7109375" style="185" customWidth="1"/>
    <col min="7941" max="7941" width="14.7109375" style="185" customWidth="1"/>
    <col min="7942" max="7942" width="9.7109375" style="185" customWidth="1"/>
    <col min="7943" max="7943" width="13.42578125" style="185" customWidth="1"/>
    <col min="7944" max="7944" width="9.140625" style="185"/>
    <col min="7945" max="7945" width="4.140625" style="185" customWidth="1"/>
    <col min="7946" max="7946" width="15.7109375" style="185" customWidth="1"/>
    <col min="7947" max="7947" width="7.28515625" style="185" customWidth="1"/>
    <col min="7948" max="7948" width="6" style="185" customWidth="1"/>
    <col min="7949" max="7949" width="13.28515625" style="185" customWidth="1"/>
    <col min="7950" max="7950" width="9.140625" style="185"/>
    <col min="7951" max="7951" width="6.7109375" style="185" customWidth="1"/>
    <col min="7952" max="7952" width="10.7109375" style="185" customWidth="1"/>
    <col min="7953" max="7953" width="6.5703125" style="185" customWidth="1"/>
    <col min="7954" max="7954" width="5.7109375" style="185" customWidth="1"/>
    <col min="7955" max="7955" width="15.85546875" style="185" customWidth="1"/>
    <col min="7956" max="7956" width="10" style="185" customWidth="1"/>
    <col min="7957" max="7957" width="11.5703125" style="185" customWidth="1"/>
    <col min="7958" max="7958" width="12.140625" style="185" customWidth="1"/>
    <col min="7959" max="8194" width="9.140625" style="185"/>
    <col min="8195" max="8195" width="6.42578125" style="185" customWidth="1"/>
    <col min="8196" max="8196" width="10.7109375" style="185" customWidth="1"/>
    <col min="8197" max="8197" width="14.7109375" style="185" customWidth="1"/>
    <col min="8198" max="8198" width="9.7109375" style="185" customWidth="1"/>
    <col min="8199" max="8199" width="13.42578125" style="185" customWidth="1"/>
    <col min="8200" max="8200" width="9.140625" style="185"/>
    <col min="8201" max="8201" width="4.140625" style="185" customWidth="1"/>
    <col min="8202" max="8202" width="15.7109375" style="185" customWidth="1"/>
    <col min="8203" max="8203" width="7.28515625" style="185" customWidth="1"/>
    <col min="8204" max="8204" width="6" style="185" customWidth="1"/>
    <col min="8205" max="8205" width="13.28515625" style="185" customWidth="1"/>
    <col min="8206" max="8206" width="9.140625" style="185"/>
    <col min="8207" max="8207" width="6.7109375" style="185" customWidth="1"/>
    <col min="8208" max="8208" width="10.7109375" style="185" customWidth="1"/>
    <col min="8209" max="8209" width="6.5703125" style="185" customWidth="1"/>
    <col min="8210" max="8210" width="5.7109375" style="185" customWidth="1"/>
    <col min="8211" max="8211" width="15.85546875" style="185" customWidth="1"/>
    <col min="8212" max="8212" width="10" style="185" customWidth="1"/>
    <col min="8213" max="8213" width="11.5703125" style="185" customWidth="1"/>
    <col min="8214" max="8214" width="12.140625" style="185" customWidth="1"/>
    <col min="8215" max="8450" width="9.140625" style="185"/>
    <col min="8451" max="8451" width="6.42578125" style="185" customWidth="1"/>
    <col min="8452" max="8452" width="10.7109375" style="185" customWidth="1"/>
    <col min="8453" max="8453" width="14.7109375" style="185" customWidth="1"/>
    <col min="8454" max="8454" width="9.7109375" style="185" customWidth="1"/>
    <col min="8455" max="8455" width="13.42578125" style="185" customWidth="1"/>
    <col min="8456" max="8456" width="9.140625" style="185"/>
    <col min="8457" max="8457" width="4.140625" style="185" customWidth="1"/>
    <col min="8458" max="8458" width="15.7109375" style="185" customWidth="1"/>
    <col min="8459" max="8459" width="7.28515625" style="185" customWidth="1"/>
    <col min="8460" max="8460" width="6" style="185" customWidth="1"/>
    <col min="8461" max="8461" width="13.28515625" style="185" customWidth="1"/>
    <col min="8462" max="8462" width="9.140625" style="185"/>
    <col min="8463" max="8463" width="6.7109375" style="185" customWidth="1"/>
    <col min="8464" max="8464" width="10.7109375" style="185" customWidth="1"/>
    <col min="8465" max="8465" width="6.5703125" style="185" customWidth="1"/>
    <col min="8466" max="8466" width="5.7109375" style="185" customWidth="1"/>
    <col min="8467" max="8467" width="15.85546875" style="185" customWidth="1"/>
    <col min="8468" max="8468" width="10" style="185" customWidth="1"/>
    <col min="8469" max="8469" width="11.5703125" style="185" customWidth="1"/>
    <col min="8470" max="8470" width="12.140625" style="185" customWidth="1"/>
    <col min="8471" max="8706" width="9.140625" style="185"/>
    <col min="8707" max="8707" width="6.42578125" style="185" customWidth="1"/>
    <col min="8708" max="8708" width="10.7109375" style="185" customWidth="1"/>
    <col min="8709" max="8709" width="14.7109375" style="185" customWidth="1"/>
    <col min="8710" max="8710" width="9.7109375" style="185" customWidth="1"/>
    <col min="8711" max="8711" width="13.42578125" style="185" customWidth="1"/>
    <col min="8712" max="8712" width="9.140625" style="185"/>
    <col min="8713" max="8713" width="4.140625" style="185" customWidth="1"/>
    <col min="8714" max="8714" width="15.7109375" style="185" customWidth="1"/>
    <col min="8715" max="8715" width="7.28515625" style="185" customWidth="1"/>
    <col min="8716" max="8716" width="6" style="185" customWidth="1"/>
    <col min="8717" max="8717" width="13.28515625" style="185" customWidth="1"/>
    <col min="8718" max="8718" width="9.140625" style="185"/>
    <col min="8719" max="8719" width="6.7109375" style="185" customWidth="1"/>
    <col min="8720" max="8720" width="10.7109375" style="185" customWidth="1"/>
    <col min="8721" max="8721" width="6.5703125" style="185" customWidth="1"/>
    <col min="8722" max="8722" width="5.7109375" style="185" customWidth="1"/>
    <col min="8723" max="8723" width="15.85546875" style="185" customWidth="1"/>
    <col min="8724" max="8724" width="10" style="185" customWidth="1"/>
    <col min="8725" max="8725" width="11.5703125" style="185" customWidth="1"/>
    <col min="8726" max="8726" width="12.140625" style="185" customWidth="1"/>
    <col min="8727" max="8962" width="9.140625" style="185"/>
    <col min="8963" max="8963" width="6.42578125" style="185" customWidth="1"/>
    <col min="8964" max="8964" width="10.7109375" style="185" customWidth="1"/>
    <col min="8965" max="8965" width="14.7109375" style="185" customWidth="1"/>
    <col min="8966" max="8966" width="9.7109375" style="185" customWidth="1"/>
    <col min="8967" max="8967" width="13.42578125" style="185" customWidth="1"/>
    <col min="8968" max="8968" width="9.140625" style="185"/>
    <col min="8969" max="8969" width="4.140625" style="185" customWidth="1"/>
    <col min="8970" max="8970" width="15.7109375" style="185" customWidth="1"/>
    <col min="8971" max="8971" width="7.28515625" style="185" customWidth="1"/>
    <col min="8972" max="8972" width="6" style="185" customWidth="1"/>
    <col min="8973" max="8973" width="13.28515625" style="185" customWidth="1"/>
    <col min="8974" max="8974" width="9.140625" style="185"/>
    <col min="8975" max="8975" width="6.7109375" style="185" customWidth="1"/>
    <col min="8976" max="8976" width="10.7109375" style="185" customWidth="1"/>
    <col min="8977" max="8977" width="6.5703125" style="185" customWidth="1"/>
    <col min="8978" max="8978" width="5.7109375" style="185" customWidth="1"/>
    <col min="8979" max="8979" width="15.85546875" style="185" customWidth="1"/>
    <col min="8980" max="8980" width="10" style="185" customWidth="1"/>
    <col min="8981" max="8981" width="11.5703125" style="185" customWidth="1"/>
    <col min="8982" max="8982" width="12.140625" style="185" customWidth="1"/>
    <col min="8983" max="9218" width="9.140625" style="185"/>
    <col min="9219" max="9219" width="6.42578125" style="185" customWidth="1"/>
    <col min="9220" max="9220" width="10.7109375" style="185" customWidth="1"/>
    <col min="9221" max="9221" width="14.7109375" style="185" customWidth="1"/>
    <col min="9222" max="9222" width="9.7109375" style="185" customWidth="1"/>
    <col min="9223" max="9223" width="13.42578125" style="185" customWidth="1"/>
    <col min="9224" max="9224" width="9.140625" style="185"/>
    <col min="9225" max="9225" width="4.140625" style="185" customWidth="1"/>
    <col min="9226" max="9226" width="15.7109375" style="185" customWidth="1"/>
    <col min="9227" max="9227" width="7.28515625" style="185" customWidth="1"/>
    <col min="9228" max="9228" width="6" style="185" customWidth="1"/>
    <col min="9229" max="9229" width="13.28515625" style="185" customWidth="1"/>
    <col min="9230" max="9230" width="9.140625" style="185"/>
    <col min="9231" max="9231" width="6.7109375" style="185" customWidth="1"/>
    <col min="9232" max="9232" width="10.7109375" style="185" customWidth="1"/>
    <col min="9233" max="9233" width="6.5703125" style="185" customWidth="1"/>
    <col min="9234" max="9234" width="5.7109375" style="185" customWidth="1"/>
    <col min="9235" max="9235" width="15.85546875" style="185" customWidth="1"/>
    <col min="9236" max="9236" width="10" style="185" customWidth="1"/>
    <col min="9237" max="9237" width="11.5703125" style="185" customWidth="1"/>
    <col min="9238" max="9238" width="12.140625" style="185" customWidth="1"/>
    <col min="9239" max="9474" width="9.140625" style="185"/>
    <col min="9475" max="9475" width="6.42578125" style="185" customWidth="1"/>
    <col min="9476" max="9476" width="10.7109375" style="185" customWidth="1"/>
    <col min="9477" max="9477" width="14.7109375" style="185" customWidth="1"/>
    <col min="9478" max="9478" width="9.7109375" style="185" customWidth="1"/>
    <col min="9479" max="9479" width="13.42578125" style="185" customWidth="1"/>
    <col min="9480" max="9480" width="9.140625" style="185"/>
    <col min="9481" max="9481" width="4.140625" style="185" customWidth="1"/>
    <col min="9482" max="9482" width="15.7109375" style="185" customWidth="1"/>
    <col min="9483" max="9483" width="7.28515625" style="185" customWidth="1"/>
    <col min="9484" max="9484" width="6" style="185" customWidth="1"/>
    <col min="9485" max="9485" width="13.28515625" style="185" customWidth="1"/>
    <col min="9486" max="9486" width="9.140625" style="185"/>
    <col min="9487" max="9487" width="6.7109375" style="185" customWidth="1"/>
    <col min="9488" max="9488" width="10.7109375" style="185" customWidth="1"/>
    <col min="9489" max="9489" width="6.5703125" style="185" customWidth="1"/>
    <col min="9490" max="9490" width="5.7109375" style="185" customWidth="1"/>
    <col min="9491" max="9491" width="15.85546875" style="185" customWidth="1"/>
    <col min="9492" max="9492" width="10" style="185" customWidth="1"/>
    <col min="9493" max="9493" width="11.5703125" style="185" customWidth="1"/>
    <col min="9494" max="9494" width="12.140625" style="185" customWidth="1"/>
    <col min="9495" max="9730" width="9.140625" style="185"/>
    <col min="9731" max="9731" width="6.42578125" style="185" customWidth="1"/>
    <col min="9732" max="9732" width="10.7109375" style="185" customWidth="1"/>
    <col min="9733" max="9733" width="14.7109375" style="185" customWidth="1"/>
    <col min="9734" max="9734" width="9.7109375" style="185" customWidth="1"/>
    <col min="9735" max="9735" width="13.42578125" style="185" customWidth="1"/>
    <col min="9736" max="9736" width="9.140625" style="185"/>
    <col min="9737" max="9737" width="4.140625" style="185" customWidth="1"/>
    <col min="9738" max="9738" width="15.7109375" style="185" customWidth="1"/>
    <col min="9739" max="9739" width="7.28515625" style="185" customWidth="1"/>
    <col min="9740" max="9740" width="6" style="185" customWidth="1"/>
    <col min="9741" max="9741" width="13.28515625" style="185" customWidth="1"/>
    <col min="9742" max="9742" width="9.140625" style="185"/>
    <col min="9743" max="9743" width="6.7109375" style="185" customWidth="1"/>
    <col min="9744" max="9744" width="10.7109375" style="185" customWidth="1"/>
    <col min="9745" max="9745" width="6.5703125" style="185" customWidth="1"/>
    <col min="9746" max="9746" width="5.7109375" style="185" customWidth="1"/>
    <col min="9747" max="9747" width="15.85546875" style="185" customWidth="1"/>
    <col min="9748" max="9748" width="10" style="185" customWidth="1"/>
    <col min="9749" max="9749" width="11.5703125" style="185" customWidth="1"/>
    <col min="9750" max="9750" width="12.140625" style="185" customWidth="1"/>
    <col min="9751" max="9986" width="9.140625" style="185"/>
    <col min="9987" max="9987" width="6.42578125" style="185" customWidth="1"/>
    <col min="9988" max="9988" width="10.7109375" style="185" customWidth="1"/>
    <col min="9989" max="9989" width="14.7109375" style="185" customWidth="1"/>
    <col min="9990" max="9990" width="9.7109375" style="185" customWidth="1"/>
    <col min="9991" max="9991" width="13.42578125" style="185" customWidth="1"/>
    <col min="9992" max="9992" width="9.140625" style="185"/>
    <col min="9993" max="9993" width="4.140625" style="185" customWidth="1"/>
    <col min="9994" max="9994" width="15.7109375" style="185" customWidth="1"/>
    <col min="9995" max="9995" width="7.28515625" style="185" customWidth="1"/>
    <col min="9996" max="9996" width="6" style="185" customWidth="1"/>
    <col min="9997" max="9997" width="13.28515625" style="185" customWidth="1"/>
    <col min="9998" max="9998" width="9.140625" style="185"/>
    <col min="9999" max="9999" width="6.7109375" style="185" customWidth="1"/>
    <col min="10000" max="10000" width="10.7109375" style="185" customWidth="1"/>
    <col min="10001" max="10001" width="6.5703125" style="185" customWidth="1"/>
    <col min="10002" max="10002" width="5.7109375" style="185" customWidth="1"/>
    <col min="10003" max="10003" width="15.85546875" style="185" customWidth="1"/>
    <col min="10004" max="10004" width="10" style="185" customWidth="1"/>
    <col min="10005" max="10005" width="11.5703125" style="185" customWidth="1"/>
    <col min="10006" max="10006" width="12.140625" style="185" customWidth="1"/>
    <col min="10007" max="10242" width="9.140625" style="185"/>
    <col min="10243" max="10243" width="6.42578125" style="185" customWidth="1"/>
    <col min="10244" max="10244" width="10.7109375" style="185" customWidth="1"/>
    <col min="10245" max="10245" width="14.7109375" style="185" customWidth="1"/>
    <col min="10246" max="10246" width="9.7109375" style="185" customWidth="1"/>
    <col min="10247" max="10247" width="13.42578125" style="185" customWidth="1"/>
    <col min="10248" max="10248" width="9.140625" style="185"/>
    <col min="10249" max="10249" width="4.140625" style="185" customWidth="1"/>
    <col min="10250" max="10250" width="15.7109375" style="185" customWidth="1"/>
    <col min="10251" max="10251" width="7.28515625" style="185" customWidth="1"/>
    <col min="10252" max="10252" width="6" style="185" customWidth="1"/>
    <col min="10253" max="10253" width="13.28515625" style="185" customWidth="1"/>
    <col min="10254" max="10254" width="9.140625" style="185"/>
    <col min="10255" max="10255" width="6.7109375" style="185" customWidth="1"/>
    <col min="10256" max="10256" width="10.7109375" style="185" customWidth="1"/>
    <col min="10257" max="10257" width="6.5703125" style="185" customWidth="1"/>
    <col min="10258" max="10258" width="5.7109375" style="185" customWidth="1"/>
    <col min="10259" max="10259" width="15.85546875" style="185" customWidth="1"/>
    <col min="10260" max="10260" width="10" style="185" customWidth="1"/>
    <col min="10261" max="10261" width="11.5703125" style="185" customWidth="1"/>
    <col min="10262" max="10262" width="12.140625" style="185" customWidth="1"/>
    <col min="10263" max="10498" width="9.140625" style="185"/>
    <col min="10499" max="10499" width="6.42578125" style="185" customWidth="1"/>
    <col min="10500" max="10500" width="10.7109375" style="185" customWidth="1"/>
    <col min="10501" max="10501" width="14.7109375" style="185" customWidth="1"/>
    <col min="10502" max="10502" width="9.7109375" style="185" customWidth="1"/>
    <col min="10503" max="10503" width="13.42578125" style="185" customWidth="1"/>
    <col min="10504" max="10504" width="9.140625" style="185"/>
    <col min="10505" max="10505" width="4.140625" style="185" customWidth="1"/>
    <col min="10506" max="10506" width="15.7109375" style="185" customWidth="1"/>
    <col min="10507" max="10507" width="7.28515625" style="185" customWidth="1"/>
    <col min="10508" max="10508" width="6" style="185" customWidth="1"/>
    <col min="10509" max="10509" width="13.28515625" style="185" customWidth="1"/>
    <col min="10510" max="10510" width="9.140625" style="185"/>
    <col min="10511" max="10511" width="6.7109375" style="185" customWidth="1"/>
    <col min="10512" max="10512" width="10.7109375" style="185" customWidth="1"/>
    <col min="10513" max="10513" width="6.5703125" style="185" customWidth="1"/>
    <col min="10514" max="10514" width="5.7109375" style="185" customWidth="1"/>
    <col min="10515" max="10515" width="15.85546875" style="185" customWidth="1"/>
    <col min="10516" max="10516" width="10" style="185" customWidth="1"/>
    <col min="10517" max="10517" width="11.5703125" style="185" customWidth="1"/>
    <col min="10518" max="10518" width="12.140625" style="185" customWidth="1"/>
    <col min="10519" max="10754" width="9.140625" style="185"/>
    <col min="10755" max="10755" width="6.42578125" style="185" customWidth="1"/>
    <col min="10756" max="10756" width="10.7109375" style="185" customWidth="1"/>
    <col min="10757" max="10757" width="14.7109375" style="185" customWidth="1"/>
    <col min="10758" max="10758" width="9.7109375" style="185" customWidth="1"/>
    <col min="10759" max="10759" width="13.42578125" style="185" customWidth="1"/>
    <col min="10760" max="10760" width="9.140625" style="185"/>
    <col min="10761" max="10761" width="4.140625" style="185" customWidth="1"/>
    <col min="10762" max="10762" width="15.7109375" style="185" customWidth="1"/>
    <col min="10763" max="10763" width="7.28515625" style="185" customWidth="1"/>
    <col min="10764" max="10764" width="6" style="185" customWidth="1"/>
    <col min="10765" max="10765" width="13.28515625" style="185" customWidth="1"/>
    <col min="10766" max="10766" width="9.140625" style="185"/>
    <col min="10767" max="10767" width="6.7109375" style="185" customWidth="1"/>
    <col min="10768" max="10768" width="10.7109375" style="185" customWidth="1"/>
    <col min="10769" max="10769" width="6.5703125" style="185" customWidth="1"/>
    <col min="10770" max="10770" width="5.7109375" style="185" customWidth="1"/>
    <col min="10771" max="10771" width="15.85546875" style="185" customWidth="1"/>
    <col min="10772" max="10772" width="10" style="185" customWidth="1"/>
    <col min="10773" max="10773" width="11.5703125" style="185" customWidth="1"/>
    <col min="10774" max="10774" width="12.140625" style="185" customWidth="1"/>
    <col min="10775" max="11010" width="9.140625" style="185"/>
    <col min="11011" max="11011" width="6.42578125" style="185" customWidth="1"/>
    <col min="11012" max="11012" width="10.7109375" style="185" customWidth="1"/>
    <col min="11013" max="11013" width="14.7109375" style="185" customWidth="1"/>
    <col min="11014" max="11014" width="9.7109375" style="185" customWidth="1"/>
    <col min="11015" max="11015" width="13.42578125" style="185" customWidth="1"/>
    <col min="11016" max="11016" width="9.140625" style="185"/>
    <col min="11017" max="11017" width="4.140625" style="185" customWidth="1"/>
    <col min="11018" max="11018" width="15.7109375" style="185" customWidth="1"/>
    <col min="11019" max="11019" width="7.28515625" style="185" customWidth="1"/>
    <col min="11020" max="11020" width="6" style="185" customWidth="1"/>
    <col min="11021" max="11021" width="13.28515625" style="185" customWidth="1"/>
    <col min="11022" max="11022" width="9.140625" style="185"/>
    <col min="11023" max="11023" width="6.7109375" style="185" customWidth="1"/>
    <col min="11024" max="11024" width="10.7109375" style="185" customWidth="1"/>
    <col min="11025" max="11025" width="6.5703125" style="185" customWidth="1"/>
    <col min="11026" max="11026" width="5.7109375" style="185" customWidth="1"/>
    <col min="11027" max="11027" width="15.85546875" style="185" customWidth="1"/>
    <col min="11028" max="11028" width="10" style="185" customWidth="1"/>
    <col min="11029" max="11029" width="11.5703125" style="185" customWidth="1"/>
    <col min="11030" max="11030" width="12.140625" style="185" customWidth="1"/>
    <col min="11031" max="11266" width="9.140625" style="185"/>
    <col min="11267" max="11267" width="6.42578125" style="185" customWidth="1"/>
    <col min="11268" max="11268" width="10.7109375" style="185" customWidth="1"/>
    <col min="11269" max="11269" width="14.7109375" style="185" customWidth="1"/>
    <col min="11270" max="11270" width="9.7109375" style="185" customWidth="1"/>
    <col min="11271" max="11271" width="13.42578125" style="185" customWidth="1"/>
    <col min="11272" max="11272" width="9.140625" style="185"/>
    <col min="11273" max="11273" width="4.140625" style="185" customWidth="1"/>
    <col min="11274" max="11274" width="15.7109375" style="185" customWidth="1"/>
    <col min="11275" max="11275" width="7.28515625" style="185" customWidth="1"/>
    <col min="11276" max="11276" width="6" style="185" customWidth="1"/>
    <col min="11277" max="11277" width="13.28515625" style="185" customWidth="1"/>
    <col min="11278" max="11278" width="9.140625" style="185"/>
    <col min="11279" max="11279" width="6.7109375" style="185" customWidth="1"/>
    <col min="11280" max="11280" width="10.7109375" style="185" customWidth="1"/>
    <col min="11281" max="11281" width="6.5703125" style="185" customWidth="1"/>
    <col min="11282" max="11282" width="5.7109375" style="185" customWidth="1"/>
    <col min="11283" max="11283" width="15.85546875" style="185" customWidth="1"/>
    <col min="11284" max="11284" width="10" style="185" customWidth="1"/>
    <col min="11285" max="11285" width="11.5703125" style="185" customWidth="1"/>
    <col min="11286" max="11286" width="12.140625" style="185" customWidth="1"/>
    <col min="11287" max="11522" width="9.140625" style="185"/>
    <col min="11523" max="11523" width="6.42578125" style="185" customWidth="1"/>
    <col min="11524" max="11524" width="10.7109375" style="185" customWidth="1"/>
    <col min="11525" max="11525" width="14.7109375" style="185" customWidth="1"/>
    <col min="11526" max="11526" width="9.7109375" style="185" customWidth="1"/>
    <col min="11527" max="11527" width="13.42578125" style="185" customWidth="1"/>
    <col min="11528" max="11528" width="9.140625" style="185"/>
    <col min="11529" max="11529" width="4.140625" style="185" customWidth="1"/>
    <col min="11530" max="11530" width="15.7109375" style="185" customWidth="1"/>
    <col min="11531" max="11531" width="7.28515625" style="185" customWidth="1"/>
    <col min="11532" max="11532" width="6" style="185" customWidth="1"/>
    <col min="11533" max="11533" width="13.28515625" style="185" customWidth="1"/>
    <col min="11534" max="11534" width="9.140625" style="185"/>
    <col min="11535" max="11535" width="6.7109375" style="185" customWidth="1"/>
    <col min="11536" max="11536" width="10.7109375" style="185" customWidth="1"/>
    <col min="11537" max="11537" width="6.5703125" style="185" customWidth="1"/>
    <col min="11538" max="11538" width="5.7109375" style="185" customWidth="1"/>
    <col min="11539" max="11539" width="15.85546875" style="185" customWidth="1"/>
    <col min="11540" max="11540" width="10" style="185" customWidth="1"/>
    <col min="11541" max="11541" width="11.5703125" style="185" customWidth="1"/>
    <col min="11542" max="11542" width="12.140625" style="185" customWidth="1"/>
    <col min="11543" max="11778" width="9.140625" style="185"/>
    <col min="11779" max="11779" width="6.42578125" style="185" customWidth="1"/>
    <col min="11780" max="11780" width="10.7109375" style="185" customWidth="1"/>
    <col min="11781" max="11781" width="14.7109375" style="185" customWidth="1"/>
    <col min="11782" max="11782" width="9.7109375" style="185" customWidth="1"/>
    <col min="11783" max="11783" width="13.42578125" style="185" customWidth="1"/>
    <col min="11784" max="11784" width="9.140625" style="185"/>
    <col min="11785" max="11785" width="4.140625" style="185" customWidth="1"/>
    <col min="11786" max="11786" width="15.7109375" style="185" customWidth="1"/>
    <col min="11787" max="11787" width="7.28515625" style="185" customWidth="1"/>
    <col min="11788" max="11788" width="6" style="185" customWidth="1"/>
    <col min="11789" max="11789" width="13.28515625" style="185" customWidth="1"/>
    <col min="11790" max="11790" width="9.140625" style="185"/>
    <col min="11791" max="11791" width="6.7109375" style="185" customWidth="1"/>
    <col min="11792" max="11792" width="10.7109375" style="185" customWidth="1"/>
    <col min="11793" max="11793" width="6.5703125" style="185" customWidth="1"/>
    <col min="11794" max="11794" width="5.7109375" style="185" customWidth="1"/>
    <col min="11795" max="11795" width="15.85546875" style="185" customWidth="1"/>
    <col min="11796" max="11796" width="10" style="185" customWidth="1"/>
    <col min="11797" max="11797" width="11.5703125" style="185" customWidth="1"/>
    <col min="11798" max="11798" width="12.140625" style="185" customWidth="1"/>
    <col min="11799" max="12034" width="9.140625" style="185"/>
    <col min="12035" max="12035" width="6.42578125" style="185" customWidth="1"/>
    <col min="12036" max="12036" width="10.7109375" style="185" customWidth="1"/>
    <col min="12037" max="12037" width="14.7109375" style="185" customWidth="1"/>
    <col min="12038" max="12038" width="9.7109375" style="185" customWidth="1"/>
    <col min="12039" max="12039" width="13.42578125" style="185" customWidth="1"/>
    <col min="12040" max="12040" width="9.140625" style="185"/>
    <col min="12041" max="12041" width="4.140625" style="185" customWidth="1"/>
    <col min="12042" max="12042" width="15.7109375" style="185" customWidth="1"/>
    <col min="12043" max="12043" width="7.28515625" style="185" customWidth="1"/>
    <col min="12044" max="12044" width="6" style="185" customWidth="1"/>
    <col min="12045" max="12045" width="13.28515625" style="185" customWidth="1"/>
    <col min="12046" max="12046" width="9.140625" style="185"/>
    <col min="12047" max="12047" width="6.7109375" style="185" customWidth="1"/>
    <col min="12048" max="12048" width="10.7109375" style="185" customWidth="1"/>
    <col min="12049" max="12049" width="6.5703125" style="185" customWidth="1"/>
    <col min="12050" max="12050" width="5.7109375" style="185" customWidth="1"/>
    <col min="12051" max="12051" width="15.85546875" style="185" customWidth="1"/>
    <col min="12052" max="12052" width="10" style="185" customWidth="1"/>
    <col min="12053" max="12053" width="11.5703125" style="185" customWidth="1"/>
    <col min="12054" max="12054" width="12.140625" style="185" customWidth="1"/>
    <col min="12055" max="12290" width="9.140625" style="185"/>
    <col min="12291" max="12291" width="6.42578125" style="185" customWidth="1"/>
    <col min="12292" max="12292" width="10.7109375" style="185" customWidth="1"/>
    <col min="12293" max="12293" width="14.7109375" style="185" customWidth="1"/>
    <col min="12294" max="12294" width="9.7109375" style="185" customWidth="1"/>
    <col min="12295" max="12295" width="13.42578125" style="185" customWidth="1"/>
    <col min="12296" max="12296" width="9.140625" style="185"/>
    <col min="12297" max="12297" width="4.140625" style="185" customWidth="1"/>
    <col min="12298" max="12298" width="15.7109375" style="185" customWidth="1"/>
    <col min="12299" max="12299" width="7.28515625" style="185" customWidth="1"/>
    <col min="12300" max="12300" width="6" style="185" customWidth="1"/>
    <col min="12301" max="12301" width="13.28515625" style="185" customWidth="1"/>
    <col min="12302" max="12302" width="9.140625" style="185"/>
    <col min="12303" max="12303" width="6.7109375" style="185" customWidth="1"/>
    <col min="12304" max="12304" width="10.7109375" style="185" customWidth="1"/>
    <col min="12305" max="12305" width="6.5703125" style="185" customWidth="1"/>
    <col min="12306" max="12306" width="5.7109375" style="185" customWidth="1"/>
    <col min="12307" max="12307" width="15.85546875" style="185" customWidth="1"/>
    <col min="12308" max="12308" width="10" style="185" customWidth="1"/>
    <col min="12309" max="12309" width="11.5703125" style="185" customWidth="1"/>
    <col min="12310" max="12310" width="12.140625" style="185" customWidth="1"/>
    <col min="12311" max="12546" width="9.140625" style="185"/>
    <col min="12547" max="12547" width="6.42578125" style="185" customWidth="1"/>
    <col min="12548" max="12548" width="10.7109375" style="185" customWidth="1"/>
    <col min="12549" max="12549" width="14.7109375" style="185" customWidth="1"/>
    <col min="12550" max="12550" width="9.7109375" style="185" customWidth="1"/>
    <col min="12551" max="12551" width="13.42578125" style="185" customWidth="1"/>
    <col min="12552" max="12552" width="9.140625" style="185"/>
    <col min="12553" max="12553" width="4.140625" style="185" customWidth="1"/>
    <col min="12554" max="12554" width="15.7109375" style="185" customWidth="1"/>
    <col min="12555" max="12555" width="7.28515625" style="185" customWidth="1"/>
    <col min="12556" max="12556" width="6" style="185" customWidth="1"/>
    <col min="12557" max="12557" width="13.28515625" style="185" customWidth="1"/>
    <col min="12558" max="12558" width="9.140625" style="185"/>
    <col min="12559" max="12559" width="6.7109375" style="185" customWidth="1"/>
    <col min="12560" max="12560" width="10.7109375" style="185" customWidth="1"/>
    <col min="12561" max="12561" width="6.5703125" style="185" customWidth="1"/>
    <col min="12562" max="12562" width="5.7109375" style="185" customWidth="1"/>
    <col min="12563" max="12563" width="15.85546875" style="185" customWidth="1"/>
    <col min="12564" max="12564" width="10" style="185" customWidth="1"/>
    <col min="12565" max="12565" width="11.5703125" style="185" customWidth="1"/>
    <col min="12566" max="12566" width="12.140625" style="185" customWidth="1"/>
    <col min="12567" max="12802" width="9.140625" style="185"/>
    <col min="12803" max="12803" width="6.42578125" style="185" customWidth="1"/>
    <col min="12804" max="12804" width="10.7109375" style="185" customWidth="1"/>
    <col min="12805" max="12805" width="14.7109375" style="185" customWidth="1"/>
    <col min="12806" max="12806" width="9.7109375" style="185" customWidth="1"/>
    <col min="12807" max="12807" width="13.42578125" style="185" customWidth="1"/>
    <col min="12808" max="12808" width="9.140625" style="185"/>
    <col min="12809" max="12809" width="4.140625" style="185" customWidth="1"/>
    <col min="12810" max="12810" width="15.7109375" style="185" customWidth="1"/>
    <col min="12811" max="12811" width="7.28515625" style="185" customWidth="1"/>
    <col min="12812" max="12812" width="6" style="185" customWidth="1"/>
    <col min="12813" max="12813" width="13.28515625" style="185" customWidth="1"/>
    <col min="12814" max="12814" width="9.140625" style="185"/>
    <col min="12815" max="12815" width="6.7109375" style="185" customWidth="1"/>
    <col min="12816" max="12816" width="10.7109375" style="185" customWidth="1"/>
    <col min="12817" max="12817" width="6.5703125" style="185" customWidth="1"/>
    <col min="12818" max="12818" width="5.7109375" style="185" customWidth="1"/>
    <col min="12819" max="12819" width="15.85546875" style="185" customWidth="1"/>
    <col min="12820" max="12820" width="10" style="185" customWidth="1"/>
    <col min="12821" max="12821" width="11.5703125" style="185" customWidth="1"/>
    <col min="12822" max="12822" width="12.140625" style="185" customWidth="1"/>
    <col min="12823" max="13058" width="9.140625" style="185"/>
    <col min="13059" max="13059" width="6.42578125" style="185" customWidth="1"/>
    <col min="13060" max="13060" width="10.7109375" style="185" customWidth="1"/>
    <col min="13061" max="13061" width="14.7109375" style="185" customWidth="1"/>
    <col min="13062" max="13062" width="9.7109375" style="185" customWidth="1"/>
    <col min="13063" max="13063" width="13.42578125" style="185" customWidth="1"/>
    <col min="13064" max="13064" width="9.140625" style="185"/>
    <col min="13065" max="13065" width="4.140625" style="185" customWidth="1"/>
    <col min="13066" max="13066" width="15.7109375" style="185" customWidth="1"/>
    <col min="13067" max="13067" width="7.28515625" style="185" customWidth="1"/>
    <col min="13068" max="13068" width="6" style="185" customWidth="1"/>
    <col min="13069" max="13069" width="13.28515625" style="185" customWidth="1"/>
    <col min="13070" max="13070" width="9.140625" style="185"/>
    <col min="13071" max="13071" width="6.7109375" style="185" customWidth="1"/>
    <col min="13072" max="13072" width="10.7109375" style="185" customWidth="1"/>
    <col min="13073" max="13073" width="6.5703125" style="185" customWidth="1"/>
    <col min="13074" max="13074" width="5.7109375" style="185" customWidth="1"/>
    <col min="13075" max="13075" width="15.85546875" style="185" customWidth="1"/>
    <col min="13076" max="13076" width="10" style="185" customWidth="1"/>
    <col min="13077" max="13077" width="11.5703125" style="185" customWidth="1"/>
    <col min="13078" max="13078" width="12.140625" style="185" customWidth="1"/>
    <col min="13079" max="13314" width="9.140625" style="185"/>
    <col min="13315" max="13315" width="6.42578125" style="185" customWidth="1"/>
    <col min="13316" max="13316" width="10.7109375" style="185" customWidth="1"/>
    <col min="13317" max="13317" width="14.7109375" style="185" customWidth="1"/>
    <col min="13318" max="13318" width="9.7109375" style="185" customWidth="1"/>
    <col min="13319" max="13319" width="13.42578125" style="185" customWidth="1"/>
    <col min="13320" max="13320" width="9.140625" style="185"/>
    <col min="13321" max="13321" width="4.140625" style="185" customWidth="1"/>
    <col min="13322" max="13322" width="15.7109375" style="185" customWidth="1"/>
    <col min="13323" max="13323" width="7.28515625" style="185" customWidth="1"/>
    <col min="13324" max="13324" width="6" style="185" customWidth="1"/>
    <col min="13325" max="13325" width="13.28515625" style="185" customWidth="1"/>
    <col min="13326" max="13326" width="9.140625" style="185"/>
    <col min="13327" max="13327" width="6.7109375" style="185" customWidth="1"/>
    <col min="13328" max="13328" width="10.7109375" style="185" customWidth="1"/>
    <col min="13329" max="13329" width="6.5703125" style="185" customWidth="1"/>
    <col min="13330" max="13330" width="5.7109375" style="185" customWidth="1"/>
    <col min="13331" max="13331" width="15.85546875" style="185" customWidth="1"/>
    <col min="13332" max="13332" width="10" style="185" customWidth="1"/>
    <col min="13333" max="13333" width="11.5703125" style="185" customWidth="1"/>
    <col min="13334" max="13334" width="12.140625" style="185" customWidth="1"/>
    <col min="13335" max="13570" width="9.140625" style="185"/>
    <col min="13571" max="13571" width="6.42578125" style="185" customWidth="1"/>
    <col min="13572" max="13572" width="10.7109375" style="185" customWidth="1"/>
    <col min="13573" max="13573" width="14.7109375" style="185" customWidth="1"/>
    <col min="13574" max="13574" width="9.7109375" style="185" customWidth="1"/>
    <col min="13575" max="13575" width="13.42578125" style="185" customWidth="1"/>
    <col min="13576" max="13576" width="9.140625" style="185"/>
    <col min="13577" max="13577" width="4.140625" style="185" customWidth="1"/>
    <col min="13578" max="13578" width="15.7109375" style="185" customWidth="1"/>
    <col min="13579" max="13579" width="7.28515625" style="185" customWidth="1"/>
    <col min="13580" max="13580" width="6" style="185" customWidth="1"/>
    <col min="13581" max="13581" width="13.28515625" style="185" customWidth="1"/>
    <col min="13582" max="13582" width="9.140625" style="185"/>
    <col min="13583" max="13583" width="6.7109375" style="185" customWidth="1"/>
    <col min="13584" max="13584" width="10.7109375" style="185" customWidth="1"/>
    <col min="13585" max="13585" width="6.5703125" style="185" customWidth="1"/>
    <col min="13586" max="13586" width="5.7109375" style="185" customWidth="1"/>
    <col min="13587" max="13587" width="15.85546875" style="185" customWidth="1"/>
    <col min="13588" max="13588" width="10" style="185" customWidth="1"/>
    <col min="13589" max="13589" width="11.5703125" style="185" customWidth="1"/>
    <col min="13590" max="13590" width="12.140625" style="185" customWidth="1"/>
    <col min="13591" max="13826" width="9.140625" style="185"/>
    <col min="13827" max="13827" width="6.42578125" style="185" customWidth="1"/>
    <col min="13828" max="13828" width="10.7109375" style="185" customWidth="1"/>
    <col min="13829" max="13829" width="14.7109375" style="185" customWidth="1"/>
    <col min="13830" max="13830" width="9.7109375" style="185" customWidth="1"/>
    <col min="13831" max="13831" width="13.42578125" style="185" customWidth="1"/>
    <col min="13832" max="13832" width="9.140625" style="185"/>
    <col min="13833" max="13833" width="4.140625" style="185" customWidth="1"/>
    <col min="13834" max="13834" width="15.7109375" style="185" customWidth="1"/>
    <col min="13835" max="13835" width="7.28515625" style="185" customWidth="1"/>
    <col min="13836" max="13836" width="6" style="185" customWidth="1"/>
    <col min="13837" max="13837" width="13.28515625" style="185" customWidth="1"/>
    <col min="13838" max="13838" width="9.140625" style="185"/>
    <col min="13839" max="13839" width="6.7109375" style="185" customWidth="1"/>
    <col min="13840" max="13840" width="10.7109375" style="185" customWidth="1"/>
    <col min="13841" max="13841" width="6.5703125" style="185" customWidth="1"/>
    <col min="13842" max="13842" width="5.7109375" style="185" customWidth="1"/>
    <col min="13843" max="13843" width="15.85546875" style="185" customWidth="1"/>
    <col min="13844" max="13844" width="10" style="185" customWidth="1"/>
    <col min="13845" max="13845" width="11.5703125" style="185" customWidth="1"/>
    <col min="13846" max="13846" width="12.140625" style="185" customWidth="1"/>
    <col min="13847" max="14082" width="9.140625" style="185"/>
    <col min="14083" max="14083" width="6.42578125" style="185" customWidth="1"/>
    <col min="14084" max="14084" width="10.7109375" style="185" customWidth="1"/>
    <col min="14085" max="14085" width="14.7109375" style="185" customWidth="1"/>
    <col min="14086" max="14086" width="9.7109375" style="185" customWidth="1"/>
    <col min="14087" max="14087" width="13.42578125" style="185" customWidth="1"/>
    <col min="14088" max="14088" width="9.140625" style="185"/>
    <col min="14089" max="14089" width="4.140625" style="185" customWidth="1"/>
    <col min="14090" max="14090" width="15.7109375" style="185" customWidth="1"/>
    <col min="14091" max="14091" width="7.28515625" style="185" customWidth="1"/>
    <col min="14092" max="14092" width="6" style="185" customWidth="1"/>
    <col min="14093" max="14093" width="13.28515625" style="185" customWidth="1"/>
    <col min="14094" max="14094" width="9.140625" style="185"/>
    <col min="14095" max="14095" width="6.7109375" style="185" customWidth="1"/>
    <col min="14096" max="14096" width="10.7109375" style="185" customWidth="1"/>
    <col min="14097" max="14097" width="6.5703125" style="185" customWidth="1"/>
    <col min="14098" max="14098" width="5.7109375" style="185" customWidth="1"/>
    <col min="14099" max="14099" width="15.85546875" style="185" customWidth="1"/>
    <col min="14100" max="14100" width="10" style="185" customWidth="1"/>
    <col min="14101" max="14101" width="11.5703125" style="185" customWidth="1"/>
    <col min="14102" max="14102" width="12.140625" style="185" customWidth="1"/>
    <col min="14103" max="14338" width="9.140625" style="185"/>
    <col min="14339" max="14339" width="6.42578125" style="185" customWidth="1"/>
    <col min="14340" max="14340" width="10.7109375" style="185" customWidth="1"/>
    <col min="14341" max="14341" width="14.7109375" style="185" customWidth="1"/>
    <col min="14342" max="14342" width="9.7109375" style="185" customWidth="1"/>
    <col min="14343" max="14343" width="13.42578125" style="185" customWidth="1"/>
    <col min="14344" max="14344" width="9.140625" style="185"/>
    <col min="14345" max="14345" width="4.140625" style="185" customWidth="1"/>
    <col min="14346" max="14346" width="15.7109375" style="185" customWidth="1"/>
    <col min="14347" max="14347" width="7.28515625" style="185" customWidth="1"/>
    <col min="14348" max="14348" width="6" style="185" customWidth="1"/>
    <col min="14349" max="14349" width="13.28515625" style="185" customWidth="1"/>
    <col min="14350" max="14350" width="9.140625" style="185"/>
    <col min="14351" max="14351" width="6.7109375" style="185" customWidth="1"/>
    <col min="14352" max="14352" width="10.7109375" style="185" customWidth="1"/>
    <col min="14353" max="14353" width="6.5703125" style="185" customWidth="1"/>
    <col min="14354" max="14354" width="5.7109375" style="185" customWidth="1"/>
    <col min="14355" max="14355" width="15.85546875" style="185" customWidth="1"/>
    <col min="14356" max="14356" width="10" style="185" customWidth="1"/>
    <col min="14357" max="14357" width="11.5703125" style="185" customWidth="1"/>
    <col min="14358" max="14358" width="12.140625" style="185" customWidth="1"/>
    <col min="14359" max="14594" width="9.140625" style="185"/>
    <col min="14595" max="14595" width="6.42578125" style="185" customWidth="1"/>
    <col min="14596" max="14596" width="10.7109375" style="185" customWidth="1"/>
    <col min="14597" max="14597" width="14.7109375" style="185" customWidth="1"/>
    <col min="14598" max="14598" width="9.7109375" style="185" customWidth="1"/>
    <col min="14599" max="14599" width="13.42578125" style="185" customWidth="1"/>
    <col min="14600" max="14600" width="9.140625" style="185"/>
    <col min="14601" max="14601" width="4.140625" style="185" customWidth="1"/>
    <col min="14602" max="14602" width="15.7109375" style="185" customWidth="1"/>
    <col min="14603" max="14603" width="7.28515625" style="185" customWidth="1"/>
    <col min="14604" max="14604" width="6" style="185" customWidth="1"/>
    <col min="14605" max="14605" width="13.28515625" style="185" customWidth="1"/>
    <col min="14606" max="14606" width="9.140625" style="185"/>
    <col min="14607" max="14607" width="6.7109375" style="185" customWidth="1"/>
    <col min="14608" max="14608" width="10.7109375" style="185" customWidth="1"/>
    <col min="14609" max="14609" width="6.5703125" style="185" customWidth="1"/>
    <col min="14610" max="14610" width="5.7109375" style="185" customWidth="1"/>
    <col min="14611" max="14611" width="15.85546875" style="185" customWidth="1"/>
    <col min="14612" max="14612" width="10" style="185" customWidth="1"/>
    <col min="14613" max="14613" width="11.5703125" style="185" customWidth="1"/>
    <col min="14614" max="14614" width="12.140625" style="185" customWidth="1"/>
    <col min="14615" max="14850" width="9.140625" style="185"/>
    <col min="14851" max="14851" width="6.42578125" style="185" customWidth="1"/>
    <col min="14852" max="14852" width="10.7109375" style="185" customWidth="1"/>
    <col min="14853" max="14853" width="14.7109375" style="185" customWidth="1"/>
    <col min="14854" max="14854" width="9.7109375" style="185" customWidth="1"/>
    <col min="14855" max="14855" width="13.42578125" style="185" customWidth="1"/>
    <col min="14856" max="14856" width="9.140625" style="185"/>
    <col min="14857" max="14857" width="4.140625" style="185" customWidth="1"/>
    <col min="14858" max="14858" width="15.7109375" style="185" customWidth="1"/>
    <col min="14859" max="14859" width="7.28515625" style="185" customWidth="1"/>
    <col min="14860" max="14860" width="6" style="185" customWidth="1"/>
    <col min="14861" max="14861" width="13.28515625" style="185" customWidth="1"/>
    <col min="14862" max="14862" width="9.140625" style="185"/>
    <col min="14863" max="14863" width="6.7109375" style="185" customWidth="1"/>
    <col min="14864" max="14864" width="10.7109375" style="185" customWidth="1"/>
    <col min="14865" max="14865" width="6.5703125" style="185" customWidth="1"/>
    <col min="14866" max="14866" width="5.7109375" style="185" customWidth="1"/>
    <col min="14867" max="14867" width="15.85546875" style="185" customWidth="1"/>
    <col min="14868" max="14868" width="10" style="185" customWidth="1"/>
    <col min="14869" max="14869" width="11.5703125" style="185" customWidth="1"/>
    <col min="14870" max="14870" width="12.140625" style="185" customWidth="1"/>
    <col min="14871" max="15106" width="9.140625" style="185"/>
    <col min="15107" max="15107" width="6.42578125" style="185" customWidth="1"/>
    <col min="15108" max="15108" width="10.7109375" style="185" customWidth="1"/>
    <col min="15109" max="15109" width="14.7109375" style="185" customWidth="1"/>
    <col min="15110" max="15110" width="9.7109375" style="185" customWidth="1"/>
    <col min="15111" max="15111" width="13.42578125" style="185" customWidth="1"/>
    <col min="15112" max="15112" width="9.140625" style="185"/>
    <col min="15113" max="15113" width="4.140625" style="185" customWidth="1"/>
    <col min="15114" max="15114" width="15.7109375" style="185" customWidth="1"/>
    <col min="15115" max="15115" width="7.28515625" style="185" customWidth="1"/>
    <col min="15116" max="15116" width="6" style="185" customWidth="1"/>
    <col min="15117" max="15117" width="13.28515625" style="185" customWidth="1"/>
    <col min="15118" max="15118" width="9.140625" style="185"/>
    <col min="15119" max="15119" width="6.7109375" style="185" customWidth="1"/>
    <col min="15120" max="15120" width="10.7109375" style="185" customWidth="1"/>
    <col min="15121" max="15121" width="6.5703125" style="185" customWidth="1"/>
    <col min="15122" max="15122" width="5.7109375" style="185" customWidth="1"/>
    <col min="15123" max="15123" width="15.85546875" style="185" customWidth="1"/>
    <col min="15124" max="15124" width="10" style="185" customWidth="1"/>
    <col min="15125" max="15125" width="11.5703125" style="185" customWidth="1"/>
    <col min="15126" max="15126" width="12.140625" style="185" customWidth="1"/>
    <col min="15127" max="15362" width="9.140625" style="185"/>
    <col min="15363" max="15363" width="6.42578125" style="185" customWidth="1"/>
    <col min="15364" max="15364" width="10.7109375" style="185" customWidth="1"/>
    <col min="15365" max="15365" width="14.7109375" style="185" customWidth="1"/>
    <col min="15366" max="15366" width="9.7109375" style="185" customWidth="1"/>
    <col min="15367" max="15367" width="13.42578125" style="185" customWidth="1"/>
    <col min="15368" max="15368" width="9.140625" style="185"/>
    <col min="15369" max="15369" width="4.140625" style="185" customWidth="1"/>
    <col min="15370" max="15370" width="15.7109375" style="185" customWidth="1"/>
    <col min="15371" max="15371" width="7.28515625" style="185" customWidth="1"/>
    <col min="15372" max="15372" width="6" style="185" customWidth="1"/>
    <col min="15373" max="15373" width="13.28515625" style="185" customWidth="1"/>
    <col min="15374" max="15374" width="9.140625" style="185"/>
    <col min="15375" max="15375" width="6.7109375" style="185" customWidth="1"/>
    <col min="15376" max="15376" width="10.7109375" style="185" customWidth="1"/>
    <col min="15377" max="15377" width="6.5703125" style="185" customWidth="1"/>
    <col min="15378" max="15378" width="5.7109375" style="185" customWidth="1"/>
    <col min="15379" max="15379" width="15.85546875" style="185" customWidth="1"/>
    <col min="15380" max="15380" width="10" style="185" customWidth="1"/>
    <col min="15381" max="15381" width="11.5703125" style="185" customWidth="1"/>
    <col min="15382" max="15382" width="12.140625" style="185" customWidth="1"/>
    <col min="15383" max="15618" width="9.140625" style="185"/>
    <col min="15619" max="15619" width="6.42578125" style="185" customWidth="1"/>
    <col min="15620" max="15620" width="10.7109375" style="185" customWidth="1"/>
    <col min="15621" max="15621" width="14.7109375" style="185" customWidth="1"/>
    <col min="15622" max="15622" width="9.7109375" style="185" customWidth="1"/>
    <col min="15623" max="15623" width="13.42578125" style="185" customWidth="1"/>
    <col min="15624" max="15624" width="9.140625" style="185"/>
    <col min="15625" max="15625" width="4.140625" style="185" customWidth="1"/>
    <col min="15626" max="15626" width="15.7109375" style="185" customWidth="1"/>
    <col min="15627" max="15627" width="7.28515625" style="185" customWidth="1"/>
    <col min="15628" max="15628" width="6" style="185" customWidth="1"/>
    <col min="15629" max="15629" width="13.28515625" style="185" customWidth="1"/>
    <col min="15630" max="15630" width="9.140625" style="185"/>
    <col min="15631" max="15631" width="6.7109375" style="185" customWidth="1"/>
    <col min="15632" max="15632" width="10.7109375" style="185" customWidth="1"/>
    <col min="15633" max="15633" width="6.5703125" style="185" customWidth="1"/>
    <col min="15634" max="15634" width="5.7109375" style="185" customWidth="1"/>
    <col min="15635" max="15635" width="15.85546875" style="185" customWidth="1"/>
    <col min="15636" max="15636" width="10" style="185" customWidth="1"/>
    <col min="15637" max="15637" width="11.5703125" style="185" customWidth="1"/>
    <col min="15638" max="15638" width="12.140625" style="185" customWidth="1"/>
    <col min="15639" max="15874" width="9.140625" style="185"/>
    <col min="15875" max="15875" width="6.42578125" style="185" customWidth="1"/>
    <col min="15876" max="15876" width="10.7109375" style="185" customWidth="1"/>
    <col min="15877" max="15877" width="14.7109375" style="185" customWidth="1"/>
    <col min="15878" max="15878" width="9.7109375" style="185" customWidth="1"/>
    <col min="15879" max="15879" width="13.42578125" style="185" customWidth="1"/>
    <col min="15880" max="15880" width="9.140625" style="185"/>
    <col min="15881" max="15881" width="4.140625" style="185" customWidth="1"/>
    <col min="15882" max="15882" width="15.7109375" style="185" customWidth="1"/>
    <col min="15883" max="15883" width="7.28515625" style="185" customWidth="1"/>
    <col min="15884" max="15884" width="6" style="185" customWidth="1"/>
    <col min="15885" max="15885" width="13.28515625" style="185" customWidth="1"/>
    <col min="15886" max="15886" width="9.140625" style="185"/>
    <col min="15887" max="15887" width="6.7109375" style="185" customWidth="1"/>
    <col min="15888" max="15888" width="10.7109375" style="185" customWidth="1"/>
    <col min="15889" max="15889" width="6.5703125" style="185" customWidth="1"/>
    <col min="15890" max="15890" width="5.7109375" style="185" customWidth="1"/>
    <col min="15891" max="15891" width="15.85546875" style="185" customWidth="1"/>
    <col min="15892" max="15892" width="10" style="185" customWidth="1"/>
    <col min="15893" max="15893" width="11.5703125" style="185" customWidth="1"/>
    <col min="15894" max="15894" width="12.140625" style="185" customWidth="1"/>
    <col min="15895" max="16130" width="9.140625" style="185"/>
    <col min="16131" max="16131" width="6.42578125" style="185" customWidth="1"/>
    <col min="16132" max="16132" width="10.7109375" style="185" customWidth="1"/>
    <col min="16133" max="16133" width="14.7109375" style="185" customWidth="1"/>
    <col min="16134" max="16134" width="9.7109375" style="185" customWidth="1"/>
    <col min="16135" max="16135" width="13.42578125" style="185" customWidth="1"/>
    <col min="16136" max="16136" width="9.140625" style="185"/>
    <col min="16137" max="16137" width="4.140625" style="185" customWidth="1"/>
    <col min="16138" max="16138" width="15.7109375" style="185" customWidth="1"/>
    <col min="16139" max="16139" width="7.28515625" style="185" customWidth="1"/>
    <col min="16140" max="16140" width="6" style="185" customWidth="1"/>
    <col min="16141" max="16141" width="13.28515625" style="185" customWidth="1"/>
    <col min="16142" max="16142" width="9.140625" style="185"/>
    <col min="16143" max="16143" width="6.7109375" style="185" customWidth="1"/>
    <col min="16144" max="16144" width="10.7109375" style="185" customWidth="1"/>
    <col min="16145" max="16145" width="6.5703125" style="185" customWidth="1"/>
    <col min="16146" max="16146" width="5.7109375" style="185" customWidth="1"/>
    <col min="16147" max="16147" width="15.85546875" style="185" customWidth="1"/>
    <col min="16148" max="16148" width="10" style="185" customWidth="1"/>
    <col min="16149" max="16149" width="11.5703125" style="185" customWidth="1"/>
    <col min="16150" max="16150" width="12.140625" style="185" customWidth="1"/>
    <col min="16151" max="16384" width="9.140625" style="185"/>
  </cols>
  <sheetData>
    <row r="1" spans="1:23" ht="15.75">
      <c r="A1" s="483" t="s">
        <v>87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184"/>
    </row>
    <row r="2" spans="1:23" ht="15.75">
      <c r="A2" s="483" t="s">
        <v>269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186"/>
    </row>
    <row r="3" spans="1:23" ht="1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4"/>
      <c r="V3" s="184"/>
      <c r="W3" s="184"/>
    </row>
    <row r="4" spans="1:23" ht="15">
      <c r="A4" s="489" t="s">
        <v>585</v>
      </c>
      <c r="B4" s="489"/>
      <c r="C4" s="489"/>
      <c r="D4" s="188"/>
      <c r="E4" s="188"/>
      <c r="F4" s="188"/>
      <c r="G4" s="188"/>
      <c r="H4" s="188"/>
      <c r="I4" s="188"/>
      <c r="J4" s="188"/>
      <c r="K4" s="188"/>
      <c r="L4" s="188"/>
    </row>
    <row r="5" spans="1:23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1:23" ht="22.5" customHeight="1">
      <c r="A6" s="185" t="s">
        <v>531</v>
      </c>
      <c r="D6" s="484" t="s">
        <v>532</v>
      </c>
      <c r="E6" s="485"/>
      <c r="F6" s="485"/>
      <c r="G6" s="486"/>
      <c r="H6" s="185" t="s">
        <v>533</v>
      </c>
      <c r="K6" s="484">
        <v>11</v>
      </c>
      <c r="L6" s="485"/>
      <c r="M6" s="486"/>
      <c r="O6" s="185" t="s">
        <v>32</v>
      </c>
      <c r="Q6" s="189">
        <v>5301</v>
      </c>
      <c r="R6" s="185" t="s">
        <v>86</v>
      </c>
      <c r="T6" s="189">
        <v>800</v>
      </c>
    </row>
    <row r="9" spans="1:23" ht="30" customHeight="1">
      <c r="A9" s="487" t="s">
        <v>534</v>
      </c>
      <c r="B9" s="487"/>
      <c r="C9" s="488"/>
      <c r="D9" s="484" t="s">
        <v>535</v>
      </c>
      <c r="E9" s="485"/>
      <c r="F9" s="485"/>
      <c r="G9" s="486"/>
      <c r="H9" s="185" t="s">
        <v>520</v>
      </c>
      <c r="K9" s="484" t="s">
        <v>536</v>
      </c>
      <c r="L9" s="485"/>
      <c r="M9" s="485"/>
      <c r="N9" s="486"/>
    </row>
    <row r="12" spans="1:23">
      <c r="A12" s="487" t="s">
        <v>85</v>
      </c>
      <c r="B12" s="487"/>
      <c r="C12" s="488"/>
      <c r="D12" s="492" t="s">
        <v>537</v>
      </c>
      <c r="E12" s="493"/>
      <c r="F12" s="493"/>
      <c r="G12" s="494"/>
      <c r="K12" s="492" t="s">
        <v>538</v>
      </c>
      <c r="L12" s="501"/>
      <c r="M12" s="501"/>
      <c r="N12" s="502"/>
    </row>
    <row r="13" spans="1:23">
      <c r="A13" s="487" t="s">
        <v>84</v>
      </c>
      <c r="B13" s="487"/>
      <c r="C13" s="488"/>
      <c r="D13" s="495"/>
      <c r="E13" s="496"/>
      <c r="F13" s="496"/>
      <c r="G13" s="497"/>
      <c r="K13" s="503"/>
      <c r="L13" s="504"/>
      <c r="M13" s="504"/>
      <c r="N13" s="505"/>
    </row>
    <row r="14" spans="1:23" ht="24.75" customHeight="1">
      <c r="D14" s="498"/>
      <c r="E14" s="499"/>
      <c r="F14" s="499"/>
      <c r="G14" s="500"/>
      <c r="K14" s="506"/>
      <c r="L14" s="507"/>
      <c r="M14" s="507"/>
      <c r="N14" s="508"/>
    </row>
    <row r="24" spans="1:22">
      <c r="A24" s="185" t="s">
        <v>34</v>
      </c>
      <c r="E24" s="484">
        <v>44</v>
      </c>
      <c r="F24" s="486"/>
      <c r="G24" s="185" t="s">
        <v>83</v>
      </c>
      <c r="J24" s="484">
        <v>40</v>
      </c>
      <c r="K24" s="486"/>
      <c r="L24" s="185" t="s">
        <v>36</v>
      </c>
      <c r="N24" s="484">
        <v>87</v>
      </c>
      <c r="O24" s="486"/>
      <c r="P24" s="185" t="s">
        <v>82</v>
      </c>
      <c r="R24" s="484">
        <v>15</v>
      </c>
      <c r="S24" s="486"/>
      <c r="T24" s="185" t="s">
        <v>38</v>
      </c>
      <c r="U24" s="484">
        <v>234</v>
      </c>
      <c r="V24" s="486"/>
    </row>
    <row r="27" spans="1:22" ht="15" customHeight="1">
      <c r="A27" s="185" t="s">
        <v>81</v>
      </c>
      <c r="D27" s="185" t="s">
        <v>40</v>
      </c>
      <c r="E27" s="190">
        <v>949</v>
      </c>
      <c r="G27" s="185" t="s">
        <v>41</v>
      </c>
      <c r="H27" s="190">
        <v>171</v>
      </c>
      <c r="J27" s="185" t="s">
        <v>80</v>
      </c>
      <c r="K27" s="190">
        <v>39</v>
      </c>
      <c r="M27" s="191" t="s">
        <v>64</v>
      </c>
      <c r="N27" s="190">
        <f>E27+H27+K27</f>
        <v>1159</v>
      </c>
      <c r="P27" s="185" t="s">
        <v>79</v>
      </c>
      <c r="Q27" s="189">
        <v>404</v>
      </c>
      <c r="S27" s="185" t="s">
        <v>539</v>
      </c>
    </row>
    <row r="28" spans="1:22" ht="15" customHeight="1">
      <c r="A28" s="185" t="s">
        <v>78</v>
      </c>
      <c r="D28" s="185" t="s">
        <v>46</v>
      </c>
      <c r="E28" s="190">
        <v>2053</v>
      </c>
      <c r="G28" s="185" t="s">
        <v>47</v>
      </c>
      <c r="H28" s="190">
        <v>345</v>
      </c>
      <c r="J28" s="185" t="s">
        <v>48</v>
      </c>
      <c r="K28" s="190">
        <v>80</v>
      </c>
      <c r="M28" s="191" t="s">
        <v>77</v>
      </c>
      <c r="N28" s="190">
        <f>E28+H28+K28</f>
        <v>2478</v>
      </c>
    </row>
    <row r="29" spans="1:22" ht="15" customHeight="1">
      <c r="D29" s="185" t="s">
        <v>49</v>
      </c>
      <c r="E29" s="190">
        <v>2275</v>
      </c>
      <c r="G29" s="185" t="s">
        <v>50</v>
      </c>
      <c r="H29" s="190">
        <v>342</v>
      </c>
      <c r="J29" s="185" t="s">
        <v>51</v>
      </c>
      <c r="K29" s="190">
        <v>74</v>
      </c>
      <c r="M29" s="191" t="s">
        <v>76</v>
      </c>
      <c r="N29" s="190">
        <f>E29+H29+K29</f>
        <v>2691</v>
      </c>
    </row>
    <row r="34" spans="1:22">
      <c r="A34" s="192" t="s">
        <v>75</v>
      </c>
    </row>
    <row r="36" spans="1:22" ht="27.75" customHeight="1">
      <c r="A36" s="510" t="s">
        <v>53</v>
      </c>
      <c r="B36" s="511"/>
      <c r="C36" s="512"/>
      <c r="D36" s="516" t="s">
        <v>74</v>
      </c>
      <c r="E36" s="516" t="s">
        <v>55</v>
      </c>
      <c r="F36" s="516" t="s">
        <v>73</v>
      </c>
      <c r="G36" s="516" t="s">
        <v>72</v>
      </c>
      <c r="H36" s="518" t="s">
        <v>540</v>
      </c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</row>
    <row r="37" spans="1:22" ht="27.75" customHeight="1">
      <c r="A37" s="513"/>
      <c r="B37" s="514"/>
      <c r="C37" s="515"/>
      <c r="D37" s="517"/>
      <c r="E37" s="517"/>
      <c r="F37" s="517"/>
      <c r="G37" s="517"/>
      <c r="H37" s="484"/>
      <c r="I37" s="486"/>
      <c r="J37" s="484" t="s">
        <v>541</v>
      </c>
      <c r="K37" s="486"/>
      <c r="L37" s="484" t="s">
        <v>60</v>
      </c>
      <c r="M37" s="486"/>
      <c r="N37" s="484" t="s">
        <v>61</v>
      </c>
      <c r="O37" s="486"/>
      <c r="P37" s="484" t="s">
        <v>62</v>
      </c>
      <c r="Q37" s="486"/>
      <c r="R37" s="484" t="s">
        <v>63</v>
      </c>
      <c r="S37" s="486"/>
      <c r="T37" s="190" t="s">
        <v>542</v>
      </c>
      <c r="U37" s="190" t="s">
        <v>64</v>
      </c>
      <c r="V37" s="190" t="s">
        <v>65</v>
      </c>
    </row>
    <row r="38" spans="1:22" ht="27.75" customHeight="1">
      <c r="A38" s="509" t="s">
        <v>370</v>
      </c>
      <c r="B38" s="509"/>
      <c r="C38" s="509"/>
      <c r="D38" s="190">
        <v>500</v>
      </c>
      <c r="E38" s="189" t="s">
        <v>300</v>
      </c>
      <c r="F38" s="193">
        <v>25</v>
      </c>
      <c r="G38" s="194">
        <v>1750000</v>
      </c>
      <c r="H38" s="490">
        <v>0</v>
      </c>
      <c r="I38" s="491"/>
      <c r="J38" s="490">
        <v>499999</v>
      </c>
      <c r="K38" s="491"/>
      <c r="L38" s="490">
        <v>255310</v>
      </c>
      <c r="M38" s="491"/>
      <c r="N38" s="490">
        <v>451825</v>
      </c>
      <c r="O38" s="491"/>
      <c r="P38" s="484">
        <v>334641</v>
      </c>
      <c r="Q38" s="486"/>
      <c r="R38" s="490">
        <v>228055</v>
      </c>
      <c r="S38" s="491"/>
      <c r="T38" s="189"/>
      <c r="U38" s="194">
        <f>H38+J38+L38+N38+N38+P38+R38</f>
        <v>2221655</v>
      </c>
      <c r="V38" s="195">
        <f>U38*100/G38</f>
        <v>126.95171428571429</v>
      </c>
    </row>
    <row r="39" spans="1:22" ht="27.75" customHeight="1">
      <c r="A39" s="509" t="s">
        <v>338</v>
      </c>
      <c r="B39" s="509"/>
      <c r="C39" s="509"/>
      <c r="D39" s="190">
        <v>360</v>
      </c>
      <c r="E39" s="189" t="str">
        <f>+E38</f>
        <v>Per Hectare</v>
      </c>
      <c r="F39" s="193">
        <v>18</v>
      </c>
      <c r="G39" s="194">
        <v>1200000</v>
      </c>
      <c r="H39" s="484"/>
      <c r="I39" s="486"/>
      <c r="J39" s="490">
        <v>362796</v>
      </c>
      <c r="K39" s="491"/>
      <c r="L39" s="490">
        <v>83330</v>
      </c>
      <c r="M39" s="491"/>
      <c r="N39" s="490">
        <v>388207</v>
      </c>
      <c r="O39" s="491"/>
      <c r="P39" s="484">
        <v>177613</v>
      </c>
      <c r="Q39" s="486"/>
      <c r="R39" s="490">
        <v>38464</v>
      </c>
      <c r="S39" s="491"/>
      <c r="T39" s="189"/>
      <c r="U39" s="194">
        <f t="shared" ref="U39:U48" si="0">H39+J39+L39+N39+N39+P39+R39</f>
        <v>1438617</v>
      </c>
      <c r="V39" s="195">
        <f>U39*100/G39</f>
        <v>119.88475</v>
      </c>
    </row>
    <row r="40" spans="1:22" ht="27.75" customHeight="1">
      <c r="A40" s="509" t="s">
        <v>321</v>
      </c>
      <c r="B40" s="509"/>
      <c r="C40" s="509"/>
      <c r="D40" s="190">
        <v>8.4</v>
      </c>
      <c r="E40" s="189" t="s">
        <v>363</v>
      </c>
      <c r="F40" s="193">
        <v>58.8</v>
      </c>
      <c r="G40" s="189"/>
      <c r="H40" s="484"/>
      <c r="I40" s="486"/>
      <c r="J40" s="490">
        <v>287832</v>
      </c>
      <c r="K40" s="491"/>
      <c r="L40" s="490">
        <v>288833</v>
      </c>
      <c r="M40" s="491"/>
      <c r="N40" s="490">
        <v>309622</v>
      </c>
      <c r="O40" s="491"/>
      <c r="P40" s="484">
        <v>279000</v>
      </c>
      <c r="Q40" s="486"/>
      <c r="R40" s="490">
        <v>214532</v>
      </c>
      <c r="S40" s="491"/>
      <c r="T40" s="189"/>
      <c r="U40" s="194">
        <f t="shared" si="0"/>
        <v>1689441</v>
      </c>
      <c r="V40" s="195">
        <v>0</v>
      </c>
    </row>
    <row r="41" spans="1:22" ht="27.75" customHeight="1">
      <c r="A41" s="509" t="s">
        <v>246</v>
      </c>
      <c r="B41" s="509"/>
      <c r="C41" s="509"/>
      <c r="D41" s="190">
        <v>0.84</v>
      </c>
      <c r="E41" s="189" t="str">
        <f>+E40</f>
        <v>Lakhs/ Annum</v>
      </c>
      <c r="F41" s="193">
        <v>5.88</v>
      </c>
      <c r="G41" s="189"/>
      <c r="H41" s="484"/>
      <c r="I41" s="486"/>
      <c r="J41" s="490">
        <v>745</v>
      </c>
      <c r="K41" s="491"/>
      <c r="L41" s="490">
        <v>33867</v>
      </c>
      <c r="M41" s="491"/>
      <c r="N41" s="490">
        <v>67144</v>
      </c>
      <c r="O41" s="491"/>
      <c r="P41" s="484">
        <v>56261</v>
      </c>
      <c r="Q41" s="486"/>
      <c r="R41" s="490">
        <v>36018</v>
      </c>
      <c r="S41" s="491"/>
      <c r="T41" s="189"/>
      <c r="U41" s="194">
        <f t="shared" si="0"/>
        <v>261179</v>
      </c>
      <c r="V41" s="196">
        <v>0</v>
      </c>
    </row>
    <row r="42" spans="1:22" ht="27.75" customHeight="1">
      <c r="A42" s="509" t="s">
        <v>322</v>
      </c>
      <c r="B42" s="509"/>
      <c r="C42" s="509"/>
      <c r="D42" s="190">
        <v>3.6</v>
      </c>
      <c r="E42" s="189" t="str">
        <f>+E41</f>
        <v>Lakhs/ Annum</v>
      </c>
      <c r="F42" s="193">
        <v>25.2</v>
      </c>
      <c r="G42" s="189"/>
      <c r="H42" s="484"/>
      <c r="I42" s="486"/>
      <c r="J42" s="490">
        <v>230951</v>
      </c>
      <c r="K42" s="491"/>
      <c r="L42" s="490">
        <v>215225</v>
      </c>
      <c r="M42" s="491"/>
      <c r="N42" s="490">
        <v>218000</v>
      </c>
      <c r="O42" s="491"/>
      <c r="P42" s="484">
        <v>223113</v>
      </c>
      <c r="Q42" s="486"/>
      <c r="R42" s="490">
        <v>205000</v>
      </c>
      <c r="S42" s="491"/>
      <c r="T42" s="189"/>
      <c r="U42" s="194">
        <f t="shared" si="0"/>
        <v>1310289</v>
      </c>
      <c r="V42" s="196">
        <v>0</v>
      </c>
    </row>
    <row r="43" spans="1:22" ht="27.75" customHeight="1">
      <c r="A43" s="509" t="s">
        <v>305</v>
      </c>
      <c r="B43" s="509"/>
      <c r="C43" s="509"/>
      <c r="D43" s="190">
        <v>0.24</v>
      </c>
      <c r="E43" s="189" t="str">
        <f>+E42</f>
        <v>Lakhs/ Annum</v>
      </c>
      <c r="F43" s="193">
        <v>1.68</v>
      </c>
      <c r="G43" s="189"/>
      <c r="H43" s="484"/>
      <c r="I43" s="486"/>
      <c r="J43" s="519">
        <v>0</v>
      </c>
      <c r="K43" s="520"/>
      <c r="L43" s="490">
        <v>26000</v>
      </c>
      <c r="M43" s="491"/>
      <c r="N43" s="490">
        <v>24000</v>
      </c>
      <c r="O43" s="491"/>
      <c r="P43" s="484">
        <v>24000</v>
      </c>
      <c r="Q43" s="486"/>
      <c r="R43" s="490">
        <v>24000</v>
      </c>
      <c r="S43" s="491"/>
      <c r="T43" s="189"/>
      <c r="U43" s="194">
        <f t="shared" si="0"/>
        <v>122000</v>
      </c>
      <c r="V43" s="196">
        <v>0</v>
      </c>
    </row>
    <row r="44" spans="1:22" ht="27.75" customHeight="1">
      <c r="A44" s="509" t="s">
        <v>543</v>
      </c>
      <c r="B44" s="509"/>
      <c r="C44" s="509"/>
      <c r="D44" s="190">
        <v>0.24</v>
      </c>
      <c r="E44" s="189" t="str">
        <f>+E42</f>
        <v>Lakhs/ Annum</v>
      </c>
      <c r="F44" s="193">
        <v>1.68</v>
      </c>
      <c r="G44" s="189"/>
      <c r="H44" s="484"/>
      <c r="I44" s="486"/>
      <c r="J44" s="490">
        <v>58569</v>
      </c>
      <c r="K44" s="491"/>
      <c r="L44" s="490">
        <v>53533</v>
      </c>
      <c r="M44" s="491"/>
      <c r="N44" s="490">
        <v>39526</v>
      </c>
      <c r="O44" s="491"/>
      <c r="P44" s="484">
        <v>45761</v>
      </c>
      <c r="Q44" s="486"/>
      <c r="R44" s="490">
        <v>37972</v>
      </c>
      <c r="S44" s="491"/>
      <c r="T44" s="189"/>
      <c r="U44" s="194">
        <f t="shared" si="0"/>
        <v>274887</v>
      </c>
      <c r="V44" s="196">
        <v>0</v>
      </c>
    </row>
    <row r="45" spans="1:22" ht="27.75" customHeight="1">
      <c r="A45" s="509" t="s">
        <v>71</v>
      </c>
      <c r="B45" s="509"/>
      <c r="C45" s="509"/>
      <c r="D45" s="190">
        <v>0.2</v>
      </c>
      <c r="E45" s="189" t="s">
        <v>68</v>
      </c>
      <c r="F45" s="193">
        <v>0.2</v>
      </c>
      <c r="G45" s="189"/>
      <c r="H45" s="484"/>
      <c r="I45" s="486"/>
      <c r="J45" s="490">
        <v>15485</v>
      </c>
      <c r="K45" s="491"/>
      <c r="L45" s="521">
        <v>0</v>
      </c>
      <c r="M45" s="522"/>
      <c r="N45" s="521">
        <v>0</v>
      </c>
      <c r="O45" s="522"/>
      <c r="P45" s="523">
        <v>0</v>
      </c>
      <c r="Q45" s="524"/>
      <c r="R45" s="490">
        <v>0</v>
      </c>
      <c r="S45" s="491"/>
      <c r="T45" s="189"/>
      <c r="U45" s="194">
        <f t="shared" si="0"/>
        <v>15485</v>
      </c>
      <c r="V45" s="196">
        <v>0</v>
      </c>
    </row>
    <row r="46" spans="1:22" ht="27.75" customHeight="1">
      <c r="A46" s="530" t="s">
        <v>88</v>
      </c>
      <c r="B46" s="531"/>
      <c r="C46" s="532"/>
      <c r="D46" s="190"/>
      <c r="E46" s="189"/>
      <c r="F46" s="193"/>
      <c r="G46" s="194">
        <v>3477000</v>
      </c>
      <c r="H46" s="490">
        <v>0</v>
      </c>
      <c r="I46" s="491"/>
      <c r="J46" s="490">
        <v>162559</v>
      </c>
      <c r="K46" s="491"/>
      <c r="L46" s="521">
        <v>0</v>
      </c>
      <c r="M46" s="522"/>
      <c r="N46" s="521">
        <v>0</v>
      </c>
      <c r="O46" s="522"/>
      <c r="P46" s="523"/>
      <c r="Q46" s="524"/>
      <c r="R46" s="525"/>
      <c r="S46" s="526"/>
      <c r="T46" s="189"/>
      <c r="U46" s="194">
        <f t="shared" si="0"/>
        <v>162559</v>
      </c>
      <c r="V46" s="195">
        <f>U46*100/G46</f>
        <v>4.6752660339373024</v>
      </c>
    </row>
    <row r="47" spans="1:22" ht="27.75" customHeight="1">
      <c r="A47" s="527" t="s">
        <v>544</v>
      </c>
      <c r="B47" s="528"/>
      <c r="C47" s="529"/>
      <c r="D47" s="190"/>
      <c r="E47" s="189"/>
      <c r="F47" s="193"/>
      <c r="G47" s="194">
        <v>27000</v>
      </c>
      <c r="H47" s="490"/>
      <c r="I47" s="491"/>
      <c r="J47" s="490">
        <v>24000</v>
      </c>
      <c r="K47" s="491"/>
      <c r="L47" s="490">
        <v>2474</v>
      </c>
      <c r="M47" s="491"/>
      <c r="N47" s="521">
        <v>0</v>
      </c>
      <c r="O47" s="522"/>
      <c r="P47" s="523"/>
      <c r="Q47" s="524"/>
      <c r="R47" s="525"/>
      <c r="S47" s="526"/>
      <c r="T47" s="189"/>
      <c r="U47" s="194">
        <f t="shared" si="0"/>
        <v>26474</v>
      </c>
      <c r="V47" s="195">
        <f>U47*100/G47</f>
        <v>98.05185185185185</v>
      </c>
    </row>
    <row r="48" spans="1:22" ht="27.75" customHeight="1">
      <c r="A48" s="527" t="s">
        <v>545</v>
      </c>
      <c r="B48" s="528"/>
      <c r="C48" s="529"/>
      <c r="D48" s="190"/>
      <c r="E48" s="189"/>
      <c r="F48" s="193"/>
      <c r="G48" s="194"/>
      <c r="H48" s="490"/>
      <c r="I48" s="491"/>
      <c r="J48" s="490">
        <v>4475</v>
      </c>
      <c r="K48" s="491"/>
      <c r="L48" s="490">
        <v>27725</v>
      </c>
      <c r="M48" s="491"/>
      <c r="N48" s="490">
        <v>41831</v>
      </c>
      <c r="O48" s="491"/>
      <c r="P48" s="536">
        <v>34500</v>
      </c>
      <c r="Q48" s="535"/>
      <c r="R48" s="490">
        <v>16500</v>
      </c>
      <c r="S48" s="491"/>
      <c r="T48" s="189"/>
      <c r="U48" s="194">
        <f t="shared" si="0"/>
        <v>166862</v>
      </c>
      <c r="V48" s="196">
        <v>0</v>
      </c>
    </row>
    <row r="49" spans="1:22" ht="27.75" customHeight="1">
      <c r="A49" s="533" t="s">
        <v>69</v>
      </c>
      <c r="B49" s="533"/>
      <c r="C49" s="533"/>
      <c r="D49" s="190"/>
      <c r="E49" s="189"/>
      <c r="F49" s="193">
        <f>SUM(F38:F45)</f>
        <v>136.44</v>
      </c>
      <c r="G49" s="194">
        <f>SUM(G38:G48)</f>
        <v>6454000</v>
      </c>
      <c r="H49" s="490">
        <f>SUM(H38:I48)</f>
        <v>0</v>
      </c>
      <c r="I49" s="491"/>
      <c r="J49" s="490">
        <f>SUM(J38:K48)</f>
        <v>1647411</v>
      </c>
      <c r="K49" s="491"/>
      <c r="L49" s="490">
        <f>SUM(L38:M48)</f>
        <v>986297</v>
      </c>
      <c r="M49" s="491"/>
      <c r="N49" s="490">
        <f>SUM(N38:O48)</f>
        <v>1540155</v>
      </c>
      <c r="O49" s="491"/>
      <c r="P49" s="534">
        <f>SUM(P38:Q48)</f>
        <v>1174889</v>
      </c>
      <c r="Q49" s="535"/>
      <c r="R49" s="490">
        <f>SUM(R38:S48)</f>
        <v>800541</v>
      </c>
      <c r="S49" s="491"/>
      <c r="T49" s="189">
        <f>SUM(T38:T48)</f>
        <v>0</v>
      </c>
      <c r="U49" s="194">
        <f>SUM(U38:U48)</f>
        <v>7689448</v>
      </c>
      <c r="V49" s="195">
        <f>SUM(V38:V48)</f>
        <v>349.56358217150341</v>
      </c>
    </row>
  </sheetData>
  <mergeCells count="113">
    <mergeCell ref="R48:S48"/>
    <mergeCell ref="A49:C49"/>
    <mergeCell ref="H49:I49"/>
    <mergeCell ref="J49:K49"/>
    <mergeCell ref="L49:M49"/>
    <mergeCell ref="N49:O49"/>
    <mergeCell ref="P49:Q49"/>
    <mergeCell ref="R49:S49"/>
    <mergeCell ref="A48:C48"/>
    <mergeCell ref="H48:I48"/>
    <mergeCell ref="J48:K48"/>
    <mergeCell ref="L48:M48"/>
    <mergeCell ref="N48:O48"/>
    <mergeCell ref="P48:Q48"/>
    <mergeCell ref="R46:S46"/>
    <mergeCell ref="A47:C47"/>
    <mergeCell ref="H47:I47"/>
    <mergeCell ref="J47:K47"/>
    <mergeCell ref="L47:M47"/>
    <mergeCell ref="N47:O47"/>
    <mergeCell ref="P47:Q47"/>
    <mergeCell ref="R47:S47"/>
    <mergeCell ref="A46:C46"/>
    <mergeCell ref="H46:I46"/>
    <mergeCell ref="J46:K46"/>
    <mergeCell ref="L46:M46"/>
    <mergeCell ref="N46:O46"/>
    <mergeCell ref="P46:Q46"/>
    <mergeCell ref="R44:S44"/>
    <mergeCell ref="A45:C45"/>
    <mergeCell ref="H45:I45"/>
    <mergeCell ref="J45:K45"/>
    <mergeCell ref="L45:M45"/>
    <mergeCell ref="N45:O45"/>
    <mergeCell ref="P45:Q45"/>
    <mergeCell ref="R45:S45"/>
    <mergeCell ref="A44:C44"/>
    <mergeCell ref="H44:I44"/>
    <mergeCell ref="J44:K44"/>
    <mergeCell ref="L44:M44"/>
    <mergeCell ref="N44:O44"/>
    <mergeCell ref="P44:Q44"/>
    <mergeCell ref="R42:S42"/>
    <mergeCell ref="A43:C43"/>
    <mergeCell ref="H43:I43"/>
    <mergeCell ref="J43:K43"/>
    <mergeCell ref="L43:M43"/>
    <mergeCell ref="N43:O43"/>
    <mergeCell ref="P43:Q43"/>
    <mergeCell ref="R43:S43"/>
    <mergeCell ref="A42:C42"/>
    <mergeCell ref="H42:I42"/>
    <mergeCell ref="J42:K42"/>
    <mergeCell ref="L42:M42"/>
    <mergeCell ref="N42:O42"/>
    <mergeCell ref="P42:Q42"/>
    <mergeCell ref="R40:S40"/>
    <mergeCell ref="A41:C41"/>
    <mergeCell ref="H41:I41"/>
    <mergeCell ref="J41:K41"/>
    <mergeCell ref="L41:M41"/>
    <mergeCell ref="N41:O41"/>
    <mergeCell ref="P41:Q41"/>
    <mergeCell ref="R41:S41"/>
    <mergeCell ref="A40:C40"/>
    <mergeCell ref="H40:I40"/>
    <mergeCell ref="J40:K40"/>
    <mergeCell ref="L40:M40"/>
    <mergeCell ref="N40:O40"/>
    <mergeCell ref="P40:Q40"/>
    <mergeCell ref="A39:C39"/>
    <mergeCell ref="H39:I39"/>
    <mergeCell ref="J39:K39"/>
    <mergeCell ref="L39:M39"/>
    <mergeCell ref="N39:O39"/>
    <mergeCell ref="P39:Q39"/>
    <mergeCell ref="R39:S39"/>
    <mergeCell ref="L37:M37"/>
    <mergeCell ref="N37:O37"/>
    <mergeCell ref="P37:Q37"/>
    <mergeCell ref="R37:S37"/>
    <mergeCell ref="A38:C38"/>
    <mergeCell ref="H38:I38"/>
    <mergeCell ref="J38:K38"/>
    <mergeCell ref="L38:M38"/>
    <mergeCell ref="N38:O38"/>
    <mergeCell ref="P38:Q38"/>
    <mergeCell ref="A36:C37"/>
    <mergeCell ref="D36:D37"/>
    <mergeCell ref="E36:E37"/>
    <mergeCell ref="F36:F37"/>
    <mergeCell ref="G36:G37"/>
    <mergeCell ref="H36:V36"/>
    <mergeCell ref="H37:I37"/>
    <mergeCell ref="J37:K37"/>
    <mergeCell ref="R38:S38"/>
    <mergeCell ref="A12:C12"/>
    <mergeCell ref="D12:G14"/>
    <mergeCell ref="K12:N14"/>
    <mergeCell ref="A13:C13"/>
    <mergeCell ref="E24:F24"/>
    <mergeCell ref="J24:K24"/>
    <mergeCell ref="N24:O24"/>
    <mergeCell ref="A1:V1"/>
    <mergeCell ref="A2:V2"/>
    <mergeCell ref="D6:G6"/>
    <mergeCell ref="K6:M6"/>
    <mergeCell ref="A9:C9"/>
    <mergeCell ref="D9:G9"/>
    <mergeCell ref="K9:N9"/>
    <mergeCell ref="A4:C4"/>
    <mergeCell ref="R24:S24"/>
    <mergeCell ref="U24:V24"/>
  </mergeCells>
  <hyperlinks>
    <hyperlink ref="A4" location="'Fact Sheet of VDC'!A1" display="&lt;&lt;Back"/>
  </hyperlinks>
  <printOptions horizontalCentered="1" verticalCentered="1"/>
  <pageMargins left="0.31496062992125984" right="0.15748031496062992" top="0.15748031496062992" bottom="0.15748031496062992" header="0.15748031496062992" footer="0.15748031496062992"/>
  <pageSetup scale="6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workbookViewId="0">
      <selection activeCell="A3" sqref="A3:C3"/>
    </sheetView>
  </sheetViews>
  <sheetFormatPr defaultRowHeight="12.75"/>
  <cols>
    <col min="1" max="1" width="24.5703125" style="34" customWidth="1"/>
    <col min="2" max="2" width="9" style="36" customWidth="1"/>
    <col min="3" max="3" width="7.42578125" style="36" customWidth="1"/>
    <col min="4" max="4" width="8.85546875" style="36" customWidth="1"/>
    <col min="5" max="5" width="7.5703125" style="36" customWidth="1"/>
    <col min="6" max="6" width="12.140625" style="36" customWidth="1"/>
    <col min="7" max="7" width="10" style="36" customWidth="1"/>
    <col min="8" max="8" width="11.140625" style="36" customWidth="1"/>
    <col min="9" max="9" width="9.5703125" style="36" customWidth="1"/>
    <col min="10" max="10" width="9.140625" style="36"/>
    <col min="11" max="11" width="8.140625" style="36" customWidth="1"/>
    <col min="12" max="12" width="9.7109375" style="36" customWidth="1"/>
    <col min="13" max="13" width="8.7109375" style="36" customWidth="1"/>
    <col min="14" max="14" width="7.140625" style="36" customWidth="1"/>
    <col min="15" max="256" width="9.140625" style="34"/>
    <col min="257" max="257" width="24.5703125" style="34" customWidth="1"/>
    <col min="258" max="258" width="9" style="34" customWidth="1"/>
    <col min="259" max="259" width="7.42578125" style="34" customWidth="1"/>
    <col min="260" max="260" width="8.85546875" style="34" customWidth="1"/>
    <col min="261" max="261" width="7.5703125" style="34" customWidth="1"/>
    <col min="262" max="262" width="12.140625" style="34" customWidth="1"/>
    <col min="263" max="263" width="10" style="34" customWidth="1"/>
    <col min="264" max="264" width="11.140625" style="34" customWidth="1"/>
    <col min="265" max="265" width="9.5703125" style="34" customWidth="1"/>
    <col min="266" max="266" width="9.140625" style="34"/>
    <col min="267" max="267" width="8.140625" style="34" customWidth="1"/>
    <col min="268" max="268" width="9.7109375" style="34" customWidth="1"/>
    <col min="269" max="269" width="8.7109375" style="34" customWidth="1"/>
    <col min="270" max="270" width="7.140625" style="34" customWidth="1"/>
    <col min="271" max="512" width="9.140625" style="34"/>
    <col min="513" max="513" width="24.5703125" style="34" customWidth="1"/>
    <col min="514" max="514" width="9" style="34" customWidth="1"/>
    <col min="515" max="515" width="7.42578125" style="34" customWidth="1"/>
    <col min="516" max="516" width="8.85546875" style="34" customWidth="1"/>
    <col min="517" max="517" width="7.5703125" style="34" customWidth="1"/>
    <col min="518" max="518" width="12.140625" style="34" customWidth="1"/>
    <col min="519" max="519" width="10" style="34" customWidth="1"/>
    <col min="520" max="520" width="11.140625" style="34" customWidth="1"/>
    <col min="521" max="521" width="9.5703125" style="34" customWidth="1"/>
    <col min="522" max="522" width="9.140625" style="34"/>
    <col min="523" max="523" width="8.140625" style="34" customWidth="1"/>
    <col min="524" max="524" width="9.7109375" style="34" customWidth="1"/>
    <col min="525" max="525" width="8.7109375" style="34" customWidth="1"/>
    <col min="526" max="526" width="7.140625" style="34" customWidth="1"/>
    <col min="527" max="768" width="9.140625" style="34"/>
    <col min="769" max="769" width="24.5703125" style="34" customWidth="1"/>
    <col min="770" max="770" width="9" style="34" customWidth="1"/>
    <col min="771" max="771" width="7.42578125" style="34" customWidth="1"/>
    <col min="772" max="772" width="8.85546875" style="34" customWidth="1"/>
    <col min="773" max="773" width="7.5703125" style="34" customWidth="1"/>
    <col min="774" max="774" width="12.140625" style="34" customWidth="1"/>
    <col min="775" max="775" width="10" style="34" customWidth="1"/>
    <col min="776" max="776" width="11.140625" style="34" customWidth="1"/>
    <col min="777" max="777" width="9.5703125" style="34" customWidth="1"/>
    <col min="778" max="778" width="9.140625" style="34"/>
    <col min="779" max="779" width="8.140625" style="34" customWidth="1"/>
    <col min="780" max="780" width="9.7109375" style="34" customWidth="1"/>
    <col min="781" max="781" width="8.7109375" style="34" customWidth="1"/>
    <col min="782" max="782" width="7.140625" style="34" customWidth="1"/>
    <col min="783" max="1024" width="9.140625" style="34"/>
    <col min="1025" max="1025" width="24.5703125" style="34" customWidth="1"/>
    <col min="1026" max="1026" width="9" style="34" customWidth="1"/>
    <col min="1027" max="1027" width="7.42578125" style="34" customWidth="1"/>
    <col min="1028" max="1028" width="8.85546875" style="34" customWidth="1"/>
    <col min="1029" max="1029" width="7.5703125" style="34" customWidth="1"/>
    <col min="1030" max="1030" width="12.140625" style="34" customWidth="1"/>
    <col min="1031" max="1031" width="10" style="34" customWidth="1"/>
    <col min="1032" max="1032" width="11.140625" style="34" customWidth="1"/>
    <col min="1033" max="1033" width="9.5703125" style="34" customWidth="1"/>
    <col min="1034" max="1034" width="9.140625" style="34"/>
    <col min="1035" max="1035" width="8.140625" style="34" customWidth="1"/>
    <col min="1036" max="1036" width="9.7109375" style="34" customWidth="1"/>
    <col min="1037" max="1037" width="8.7109375" style="34" customWidth="1"/>
    <col min="1038" max="1038" width="7.140625" style="34" customWidth="1"/>
    <col min="1039" max="1280" width="9.140625" style="34"/>
    <col min="1281" max="1281" width="24.5703125" style="34" customWidth="1"/>
    <col min="1282" max="1282" width="9" style="34" customWidth="1"/>
    <col min="1283" max="1283" width="7.42578125" style="34" customWidth="1"/>
    <col min="1284" max="1284" width="8.85546875" style="34" customWidth="1"/>
    <col min="1285" max="1285" width="7.5703125" style="34" customWidth="1"/>
    <col min="1286" max="1286" width="12.140625" style="34" customWidth="1"/>
    <col min="1287" max="1287" width="10" style="34" customWidth="1"/>
    <col min="1288" max="1288" width="11.140625" style="34" customWidth="1"/>
    <col min="1289" max="1289" width="9.5703125" style="34" customWidth="1"/>
    <col min="1290" max="1290" width="9.140625" style="34"/>
    <col min="1291" max="1291" width="8.140625" style="34" customWidth="1"/>
    <col min="1292" max="1292" width="9.7109375" style="34" customWidth="1"/>
    <col min="1293" max="1293" width="8.7109375" style="34" customWidth="1"/>
    <col min="1294" max="1294" width="7.140625" style="34" customWidth="1"/>
    <col min="1295" max="1536" width="9.140625" style="34"/>
    <col min="1537" max="1537" width="24.5703125" style="34" customWidth="1"/>
    <col min="1538" max="1538" width="9" style="34" customWidth="1"/>
    <col min="1539" max="1539" width="7.42578125" style="34" customWidth="1"/>
    <col min="1540" max="1540" width="8.85546875" style="34" customWidth="1"/>
    <col min="1541" max="1541" width="7.5703125" style="34" customWidth="1"/>
    <col min="1542" max="1542" width="12.140625" style="34" customWidth="1"/>
    <col min="1543" max="1543" width="10" style="34" customWidth="1"/>
    <col min="1544" max="1544" width="11.140625" style="34" customWidth="1"/>
    <col min="1545" max="1545" width="9.5703125" style="34" customWidth="1"/>
    <col min="1546" max="1546" width="9.140625" style="34"/>
    <col min="1547" max="1547" width="8.140625" style="34" customWidth="1"/>
    <col min="1548" max="1548" width="9.7109375" style="34" customWidth="1"/>
    <col min="1549" max="1549" width="8.7109375" style="34" customWidth="1"/>
    <col min="1550" max="1550" width="7.140625" style="34" customWidth="1"/>
    <col min="1551" max="1792" width="9.140625" style="34"/>
    <col min="1793" max="1793" width="24.5703125" style="34" customWidth="1"/>
    <col min="1794" max="1794" width="9" style="34" customWidth="1"/>
    <col min="1795" max="1795" width="7.42578125" style="34" customWidth="1"/>
    <col min="1796" max="1796" width="8.85546875" style="34" customWidth="1"/>
    <col min="1797" max="1797" width="7.5703125" style="34" customWidth="1"/>
    <col min="1798" max="1798" width="12.140625" style="34" customWidth="1"/>
    <col min="1799" max="1799" width="10" style="34" customWidth="1"/>
    <col min="1800" max="1800" width="11.140625" style="34" customWidth="1"/>
    <col min="1801" max="1801" width="9.5703125" style="34" customWidth="1"/>
    <col min="1802" max="1802" width="9.140625" style="34"/>
    <col min="1803" max="1803" width="8.140625" style="34" customWidth="1"/>
    <col min="1804" max="1804" width="9.7109375" style="34" customWidth="1"/>
    <col min="1805" max="1805" width="8.7109375" style="34" customWidth="1"/>
    <col min="1806" max="1806" width="7.140625" style="34" customWidth="1"/>
    <col min="1807" max="2048" width="9.140625" style="34"/>
    <col min="2049" max="2049" width="24.5703125" style="34" customWidth="1"/>
    <col min="2050" max="2050" width="9" style="34" customWidth="1"/>
    <col min="2051" max="2051" width="7.42578125" style="34" customWidth="1"/>
    <col min="2052" max="2052" width="8.85546875" style="34" customWidth="1"/>
    <col min="2053" max="2053" width="7.5703125" style="34" customWidth="1"/>
    <col min="2054" max="2054" width="12.140625" style="34" customWidth="1"/>
    <col min="2055" max="2055" width="10" style="34" customWidth="1"/>
    <col min="2056" max="2056" width="11.140625" style="34" customWidth="1"/>
    <col min="2057" max="2057" width="9.5703125" style="34" customWidth="1"/>
    <col min="2058" max="2058" width="9.140625" style="34"/>
    <col min="2059" max="2059" width="8.140625" style="34" customWidth="1"/>
    <col min="2060" max="2060" width="9.7109375" style="34" customWidth="1"/>
    <col min="2061" max="2061" width="8.7109375" style="34" customWidth="1"/>
    <col min="2062" max="2062" width="7.140625" style="34" customWidth="1"/>
    <col min="2063" max="2304" width="9.140625" style="34"/>
    <col min="2305" max="2305" width="24.5703125" style="34" customWidth="1"/>
    <col min="2306" max="2306" width="9" style="34" customWidth="1"/>
    <col min="2307" max="2307" width="7.42578125" style="34" customWidth="1"/>
    <col min="2308" max="2308" width="8.85546875" style="34" customWidth="1"/>
    <col min="2309" max="2309" width="7.5703125" style="34" customWidth="1"/>
    <col min="2310" max="2310" width="12.140625" style="34" customWidth="1"/>
    <col min="2311" max="2311" width="10" style="34" customWidth="1"/>
    <col min="2312" max="2312" width="11.140625" style="34" customWidth="1"/>
    <col min="2313" max="2313" width="9.5703125" style="34" customWidth="1"/>
    <col min="2314" max="2314" width="9.140625" style="34"/>
    <col min="2315" max="2315" width="8.140625" style="34" customWidth="1"/>
    <col min="2316" max="2316" width="9.7109375" style="34" customWidth="1"/>
    <col min="2317" max="2317" width="8.7109375" style="34" customWidth="1"/>
    <col min="2318" max="2318" width="7.140625" style="34" customWidth="1"/>
    <col min="2319" max="2560" width="9.140625" style="34"/>
    <col min="2561" max="2561" width="24.5703125" style="34" customWidth="1"/>
    <col min="2562" max="2562" width="9" style="34" customWidth="1"/>
    <col min="2563" max="2563" width="7.42578125" style="34" customWidth="1"/>
    <col min="2564" max="2564" width="8.85546875" style="34" customWidth="1"/>
    <col min="2565" max="2565" width="7.5703125" style="34" customWidth="1"/>
    <col min="2566" max="2566" width="12.140625" style="34" customWidth="1"/>
    <col min="2567" max="2567" width="10" style="34" customWidth="1"/>
    <col min="2568" max="2568" width="11.140625" style="34" customWidth="1"/>
    <col min="2569" max="2569" width="9.5703125" style="34" customWidth="1"/>
    <col min="2570" max="2570" width="9.140625" style="34"/>
    <col min="2571" max="2571" width="8.140625" style="34" customWidth="1"/>
    <col min="2572" max="2572" width="9.7109375" style="34" customWidth="1"/>
    <col min="2573" max="2573" width="8.7109375" style="34" customWidth="1"/>
    <col min="2574" max="2574" width="7.140625" style="34" customWidth="1"/>
    <col min="2575" max="2816" width="9.140625" style="34"/>
    <col min="2817" max="2817" width="24.5703125" style="34" customWidth="1"/>
    <col min="2818" max="2818" width="9" style="34" customWidth="1"/>
    <col min="2819" max="2819" width="7.42578125" style="34" customWidth="1"/>
    <col min="2820" max="2820" width="8.85546875" style="34" customWidth="1"/>
    <col min="2821" max="2821" width="7.5703125" style="34" customWidth="1"/>
    <col min="2822" max="2822" width="12.140625" style="34" customWidth="1"/>
    <col min="2823" max="2823" width="10" style="34" customWidth="1"/>
    <col min="2824" max="2824" width="11.140625" style="34" customWidth="1"/>
    <col min="2825" max="2825" width="9.5703125" style="34" customWidth="1"/>
    <col min="2826" max="2826" width="9.140625" style="34"/>
    <col min="2827" max="2827" width="8.140625" style="34" customWidth="1"/>
    <col min="2828" max="2828" width="9.7109375" style="34" customWidth="1"/>
    <col min="2829" max="2829" width="8.7109375" style="34" customWidth="1"/>
    <col min="2830" max="2830" width="7.140625" style="34" customWidth="1"/>
    <col min="2831" max="3072" width="9.140625" style="34"/>
    <col min="3073" max="3073" width="24.5703125" style="34" customWidth="1"/>
    <col min="3074" max="3074" width="9" style="34" customWidth="1"/>
    <col min="3075" max="3075" width="7.42578125" style="34" customWidth="1"/>
    <col min="3076" max="3076" width="8.85546875" style="34" customWidth="1"/>
    <col min="3077" max="3077" width="7.5703125" style="34" customWidth="1"/>
    <col min="3078" max="3078" width="12.140625" style="34" customWidth="1"/>
    <col min="3079" max="3079" width="10" style="34" customWidth="1"/>
    <col min="3080" max="3080" width="11.140625" style="34" customWidth="1"/>
    <col min="3081" max="3081" width="9.5703125" style="34" customWidth="1"/>
    <col min="3082" max="3082" width="9.140625" style="34"/>
    <col min="3083" max="3083" width="8.140625" style="34" customWidth="1"/>
    <col min="3084" max="3084" width="9.7109375" style="34" customWidth="1"/>
    <col min="3085" max="3085" width="8.7109375" style="34" customWidth="1"/>
    <col min="3086" max="3086" width="7.140625" style="34" customWidth="1"/>
    <col min="3087" max="3328" width="9.140625" style="34"/>
    <col min="3329" max="3329" width="24.5703125" style="34" customWidth="1"/>
    <col min="3330" max="3330" width="9" style="34" customWidth="1"/>
    <col min="3331" max="3331" width="7.42578125" style="34" customWidth="1"/>
    <col min="3332" max="3332" width="8.85546875" style="34" customWidth="1"/>
    <col min="3333" max="3333" width="7.5703125" style="34" customWidth="1"/>
    <col min="3334" max="3334" width="12.140625" style="34" customWidth="1"/>
    <col min="3335" max="3335" width="10" style="34" customWidth="1"/>
    <col min="3336" max="3336" width="11.140625" style="34" customWidth="1"/>
    <col min="3337" max="3337" width="9.5703125" style="34" customWidth="1"/>
    <col min="3338" max="3338" width="9.140625" style="34"/>
    <col min="3339" max="3339" width="8.140625" style="34" customWidth="1"/>
    <col min="3340" max="3340" width="9.7109375" style="34" customWidth="1"/>
    <col min="3341" max="3341" width="8.7109375" style="34" customWidth="1"/>
    <col min="3342" max="3342" width="7.140625" style="34" customWidth="1"/>
    <col min="3343" max="3584" width="9.140625" style="34"/>
    <col min="3585" max="3585" width="24.5703125" style="34" customWidth="1"/>
    <col min="3586" max="3586" width="9" style="34" customWidth="1"/>
    <col min="3587" max="3587" width="7.42578125" style="34" customWidth="1"/>
    <col min="3588" max="3588" width="8.85546875" style="34" customWidth="1"/>
    <col min="3589" max="3589" width="7.5703125" style="34" customWidth="1"/>
    <col min="3590" max="3590" width="12.140625" style="34" customWidth="1"/>
    <col min="3591" max="3591" width="10" style="34" customWidth="1"/>
    <col min="3592" max="3592" width="11.140625" style="34" customWidth="1"/>
    <col min="3593" max="3593" width="9.5703125" style="34" customWidth="1"/>
    <col min="3594" max="3594" width="9.140625" style="34"/>
    <col min="3595" max="3595" width="8.140625" style="34" customWidth="1"/>
    <col min="3596" max="3596" width="9.7109375" style="34" customWidth="1"/>
    <col min="3597" max="3597" width="8.7109375" style="34" customWidth="1"/>
    <col min="3598" max="3598" width="7.140625" style="34" customWidth="1"/>
    <col min="3599" max="3840" width="9.140625" style="34"/>
    <col min="3841" max="3841" width="24.5703125" style="34" customWidth="1"/>
    <col min="3842" max="3842" width="9" style="34" customWidth="1"/>
    <col min="3843" max="3843" width="7.42578125" style="34" customWidth="1"/>
    <col min="3844" max="3844" width="8.85546875" style="34" customWidth="1"/>
    <col min="3845" max="3845" width="7.5703125" style="34" customWidth="1"/>
    <col min="3846" max="3846" width="12.140625" style="34" customWidth="1"/>
    <col min="3847" max="3847" width="10" style="34" customWidth="1"/>
    <col min="3848" max="3848" width="11.140625" style="34" customWidth="1"/>
    <col min="3849" max="3849" width="9.5703125" style="34" customWidth="1"/>
    <col min="3850" max="3850" width="9.140625" style="34"/>
    <col min="3851" max="3851" width="8.140625" style="34" customWidth="1"/>
    <col min="3852" max="3852" width="9.7109375" style="34" customWidth="1"/>
    <col min="3853" max="3853" width="8.7109375" style="34" customWidth="1"/>
    <col min="3854" max="3854" width="7.140625" style="34" customWidth="1"/>
    <col min="3855" max="4096" width="9.140625" style="34"/>
    <col min="4097" max="4097" width="24.5703125" style="34" customWidth="1"/>
    <col min="4098" max="4098" width="9" style="34" customWidth="1"/>
    <col min="4099" max="4099" width="7.42578125" style="34" customWidth="1"/>
    <col min="4100" max="4100" width="8.85546875" style="34" customWidth="1"/>
    <col min="4101" max="4101" width="7.5703125" style="34" customWidth="1"/>
    <col min="4102" max="4102" width="12.140625" style="34" customWidth="1"/>
    <col min="4103" max="4103" width="10" style="34" customWidth="1"/>
    <col min="4104" max="4104" width="11.140625" style="34" customWidth="1"/>
    <col min="4105" max="4105" width="9.5703125" style="34" customWidth="1"/>
    <col min="4106" max="4106" width="9.140625" style="34"/>
    <col min="4107" max="4107" width="8.140625" style="34" customWidth="1"/>
    <col min="4108" max="4108" width="9.7109375" style="34" customWidth="1"/>
    <col min="4109" max="4109" width="8.7109375" style="34" customWidth="1"/>
    <col min="4110" max="4110" width="7.140625" style="34" customWidth="1"/>
    <col min="4111" max="4352" width="9.140625" style="34"/>
    <col min="4353" max="4353" width="24.5703125" style="34" customWidth="1"/>
    <col min="4354" max="4354" width="9" style="34" customWidth="1"/>
    <col min="4355" max="4355" width="7.42578125" style="34" customWidth="1"/>
    <col min="4356" max="4356" width="8.85546875" style="34" customWidth="1"/>
    <col min="4357" max="4357" width="7.5703125" style="34" customWidth="1"/>
    <col min="4358" max="4358" width="12.140625" style="34" customWidth="1"/>
    <col min="4359" max="4359" width="10" style="34" customWidth="1"/>
    <col min="4360" max="4360" width="11.140625" style="34" customWidth="1"/>
    <col min="4361" max="4361" width="9.5703125" style="34" customWidth="1"/>
    <col min="4362" max="4362" width="9.140625" style="34"/>
    <col min="4363" max="4363" width="8.140625" style="34" customWidth="1"/>
    <col min="4364" max="4364" width="9.7109375" style="34" customWidth="1"/>
    <col min="4365" max="4365" width="8.7109375" style="34" customWidth="1"/>
    <col min="4366" max="4366" width="7.140625" style="34" customWidth="1"/>
    <col min="4367" max="4608" width="9.140625" style="34"/>
    <col min="4609" max="4609" width="24.5703125" style="34" customWidth="1"/>
    <col min="4610" max="4610" width="9" style="34" customWidth="1"/>
    <col min="4611" max="4611" width="7.42578125" style="34" customWidth="1"/>
    <col min="4612" max="4612" width="8.85546875" style="34" customWidth="1"/>
    <col min="4613" max="4613" width="7.5703125" style="34" customWidth="1"/>
    <col min="4614" max="4614" width="12.140625" style="34" customWidth="1"/>
    <col min="4615" max="4615" width="10" style="34" customWidth="1"/>
    <col min="4616" max="4616" width="11.140625" style="34" customWidth="1"/>
    <col min="4617" max="4617" width="9.5703125" style="34" customWidth="1"/>
    <col min="4618" max="4618" width="9.140625" style="34"/>
    <col min="4619" max="4619" width="8.140625" style="34" customWidth="1"/>
    <col min="4620" max="4620" width="9.7109375" style="34" customWidth="1"/>
    <col min="4621" max="4621" width="8.7109375" style="34" customWidth="1"/>
    <col min="4622" max="4622" width="7.140625" style="34" customWidth="1"/>
    <col min="4623" max="4864" width="9.140625" style="34"/>
    <col min="4865" max="4865" width="24.5703125" style="34" customWidth="1"/>
    <col min="4866" max="4866" width="9" style="34" customWidth="1"/>
    <col min="4867" max="4867" width="7.42578125" style="34" customWidth="1"/>
    <col min="4868" max="4868" width="8.85546875" style="34" customWidth="1"/>
    <col min="4869" max="4869" width="7.5703125" style="34" customWidth="1"/>
    <col min="4870" max="4870" width="12.140625" style="34" customWidth="1"/>
    <col min="4871" max="4871" width="10" style="34" customWidth="1"/>
    <col min="4872" max="4872" width="11.140625" style="34" customWidth="1"/>
    <col min="4873" max="4873" width="9.5703125" style="34" customWidth="1"/>
    <col min="4874" max="4874" width="9.140625" style="34"/>
    <col min="4875" max="4875" width="8.140625" style="34" customWidth="1"/>
    <col min="4876" max="4876" width="9.7109375" style="34" customWidth="1"/>
    <col min="4877" max="4877" width="8.7109375" style="34" customWidth="1"/>
    <col min="4878" max="4878" width="7.140625" style="34" customWidth="1"/>
    <col min="4879" max="5120" width="9.140625" style="34"/>
    <col min="5121" max="5121" width="24.5703125" style="34" customWidth="1"/>
    <col min="5122" max="5122" width="9" style="34" customWidth="1"/>
    <col min="5123" max="5123" width="7.42578125" style="34" customWidth="1"/>
    <col min="5124" max="5124" width="8.85546875" style="34" customWidth="1"/>
    <col min="5125" max="5125" width="7.5703125" style="34" customWidth="1"/>
    <col min="5126" max="5126" width="12.140625" style="34" customWidth="1"/>
    <col min="5127" max="5127" width="10" style="34" customWidth="1"/>
    <col min="5128" max="5128" width="11.140625" style="34" customWidth="1"/>
    <col min="5129" max="5129" width="9.5703125" style="34" customWidth="1"/>
    <col min="5130" max="5130" width="9.140625" style="34"/>
    <col min="5131" max="5131" width="8.140625" style="34" customWidth="1"/>
    <col min="5132" max="5132" width="9.7109375" style="34" customWidth="1"/>
    <col min="5133" max="5133" width="8.7109375" style="34" customWidth="1"/>
    <col min="5134" max="5134" width="7.140625" style="34" customWidth="1"/>
    <col min="5135" max="5376" width="9.140625" style="34"/>
    <col min="5377" max="5377" width="24.5703125" style="34" customWidth="1"/>
    <col min="5378" max="5378" width="9" style="34" customWidth="1"/>
    <col min="5379" max="5379" width="7.42578125" style="34" customWidth="1"/>
    <col min="5380" max="5380" width="8.85546875" style="34" customWidth="1"/>
    <col min="5381" max="5381" width="7.5703125" style="34" customWidth="1"/>
    <col min="5382" max="5382" width="12.140625" style="34" customWidth="1"/>
    <col min="5383" max="5383" width="10" style="34" customWidth="1"/>
    <col min="5384" max="5384" width="11.140625" style="34" customWidth="1"/>
    <col min="5385" max="5385" width="9.5703125" style="34" customWidth="1"/>
    <col min="5386" max="5386" width="9.140625" style="34"/>
    <col min="5387" max="5387" width="8.140625" style="34" customWidth="1"/>
    <col min="5388" max="5388" width="9.7109375" style="34" customWidth="1"/>
    <col min="5389" max="5389" width="8.7109375" style="34" customWidth="1"/>
    <col min="5390" max="5390" width="7.140625" style="34" customWidth="1"/>
    <col min="5391" max="5632" width="9.140625" style="34"/>
    <col min="5633" max="5633" width="24.5703125" style="34" customWidth="1"/>
    <col min="5634" max="5634" width="9" style="34" customWidth="1"/>
    <col min="5635" max="5635" width="7.42578125" style="34" customWidth="1"/>
    <col min="5636" max="5636" width="8.85546875" style="34" customWidth="1"/>
    <col min="5637" max="5637" width="7.5703125" style="34" customWidth="1"/>
    <col min="5638" max="5638" width="12.140625" style="34" customWidth="1"/>
    <col min="5639" max="5639" width="10" style="34" customWidth="1"/>
    <col min="5640" max="5640" width="11.140625" style="34" customWidth="1"/>
    <col min="5641" max="5641" width="9.5703125" style="34" customWidth="1"/>
    <col min="5642" max="5642" width="9.140625" style="34"/>
    <col min="5643" max="5643" width="8.140625" style="34" customWidth="1"/>
    <col min="5644" max="5644" width="9.7109375" style="34" customWidth="1"/>
    <col min="5645" max="5645" width="8.7109375" style="34" customWidth="1"/>
    <col min="5646" max="5646" width="7.140625" style="34" customWidth="1"/>
    <col min="5647" max="5888" width="9.140625" style="34"/>
    <col min="5889" max="5889" width="24.5703125" style="34" customWidth="1"/>
    <col min="5890" max="5890" width="9" style="34" customWidth="1"/>
    <col min="5891" max="5891" width="7.42578125" style="34" customWidth="1"/>
    <col min="5892" max="5892" width="8.85546875" style="34" customWidth="1"/>
    <col min="5893" max="5893" width="7.5703125" style="34" customWidth="1"/>
    <col min="5894" max="5894" width="12.140625" style="34" customWidth="1"/>
    <col min="5895" max="5895" width="10" style="34" customWidth="1"/>
    <col min="5896" max="5896" width="11.140625" style="34" customWidth="1"/>
    <col min="5897" max="5897" width="9.5703125" style="34" customWidth="1"/>
    <col min="5898" max="5898" width="9.140625" style="34"/>
    <col min="5899" max="5899" width="8.140625" style="34" customWidth="1"/>
    <col min="5900" max="5900" width="9.7109375" style="34" customWidth="1"/>
    <col min="5901" max="5901" width="8.7109375" style="34" customWidth="1"/>
    <col min="5902" max="5902" width="7.140625" style="34" customWidth="1"/>
    <col min="5903" max="6144" width="9.140625" style="34"/>
    <col min="6145" max="6145" width="24.5703125" style="34" customWidth="1"/>
    <col min="6146" max="6146" width="9" style="34" customWidth="1"/>
    <col min="6147" max="6147" width="7.42578125" style="34" customWidth="1"/>
    <col min="6148" max="6148" width="8.85546875" style="34" customWidth="1"/>
    <col min="6149" max="6149" width="7.5703125" style="34" customWidth="1"/>
    <col min="6150" max="6150" width="12.140625" style="34" customWidth="1"/>
    <col min="6151" max="6151" width="10" style="34" customWidth="1"/>
    <col min="6152" max="6152" width="11.140625" style="34" customWidth="1"/>
    <col min="6153" max="6153" width="9.5703125" style="34" customWidth="1"/>
    <col min="6154" max="6154" width="9.140625" style="34"/>
    <col min="6155" max="6155" width="8.140625" style="34" customWidth="1"/>
    <col min="6156" max="6156" width="9.7109375" style="34" customWidth="1"/>
    <col min="6157" max="6157" width="8.7109375" style="34" customWidth="1"/>
    <col min="6158" max="6158" width="7.140625" style="34" customWidth="1"/>
    <col min="6159" max="6400" width="9.140625" style="34"/>
    <col min="6401" max="6401" width="24.5703125" style="34" customWidth="1"/>
    <col min="6402" max="6402" width="9" style="34" customWidth="1"/>
    <col min="6403" max="6403" width="7.42578125" style="34" customWidth="1"/>
    <col min="6404" max="6404" width="8.85546875" style="34" customWidth="1"/>
    <col min="6405" max="6405" width="7.5703125" style="34" customWidth="1"/>
    <col min="6406" max="6406" width="12.140625" style="34" customWidth="1"/>
    <col min="6407" max="6407" width="10" style="34" customWidth="1"/>
    <col min="6408" max="6408" width="11.140625" style="34" customWidth="1"/>
    <col min="6409" max="6409" width="9.5703125" style="34" customWidth="1"/>
    <col min="6410" max="6410" width="9.140625" style="34"/>
    <col min="6411" max="6411" width="8.140625" style="34" customWidth="1"/>
    <col min="6412" max="6412" width="9.7109375" style="34" customWidth="1"/>
    <col min="6413" max="6413" width="8.7109375" style="34" customWidth="1"/>
    <col min="6414" max="6414" width="7.140625" style="34" customWidth="1"/>
    <col min="6415" max="6656" width="9.140625" style="34"/>
    <col min="6657" max="6657" width="24.5703125" style="34" customWidth="1"/>
    <col min="6658" max="6658" width="9" style="34" customWidth="1"/>
    <col min="6659" max="6659" width="7.42578125" style="34" customWidth="1"/>
    <col min="6660" max="6660" width="8.85546875" style="34" customWidth="1"/>
    <col min="6661" max="6661" width="7.5703125" style="34" customWidth="1"/>
    <col min="6662" max="6662" width="12.140625" style="34" customWidth="1"/>
    <col min="6663" max="6663" width="10" style="34" customWidth="1"/>
    <col min="6664" max="6664" width="11.140625" style="34" customWidth="1"/>
    <col min="6665" max="6665" width="9.5703125" style="34" customWidth="1"/>
    <col min="6666" max="6666" width="9.140625" style="34"/>
    <col min="6667" max="6667" width="8.140625" style="34" customWidth="1"/>
    <col min="6668" max="6668" width="9.7109375" style="34" customWidth="1"/>
    <col min="6669" max="6669" width="8.7109375" style="34" customWidth="1"/>
    <col min="6670" max="6670" width="7.140625" style="34" customWidth="1"/>
    <col min="6671" max="6912" width="9.140625" style="34"/>
    <col min="6913" max="6913" width="24.5703125" style="34" customWidth="1"/>
    <col min="6914" max="6914" width="9" style="34" customWidth="1"/>
    <col min="6915" max="6915" width="7.42578125" style="34" customWidth="1"/>
    <col min="6916" max="6916" width="8.85546875" style="34" customWidth="1"/>
    <col min="6917" max="6917" width="7.5703125" style="34" customWidth="1"/>
    <col min="6918" max="6918" width="12.140625" style="34" customWidth="1"/>
    <col min="6919" max="6919" width="10" style="34" customWidth="1"/>
    <col min="6920" max="6920" width="11.140625" style="34" customWidth="1"/>
    <col min="6921" max="6921" width="9.5703125" style="34" customWidth="1"/>
    <col min="6922" max="6922" width="9.140625" style="34"/>
    <col min="6923" max="6923" width="8.140625" style="34" customWidth="1"/>
    <col min="6924" max="6924" width="9.7109375" style="34" customWidth="1"/>
    <col min="6925" max="6925" width="8.7109375" style="34" customWidth="1"/>
    <col min="6926" max="6926" width="7.140625" style="34" customWidth="1"/>
    <col min="6927" max="7168" width="9.140625" style="34"/>
    <col min="7169" max="7169" width="24.5703125" style="34" customWidth="1"/>
    <col min="7170" max="7170" width="9" style="34" customWidth="1"/>
    <col min="7171" max="7171" width="7.42578125" style="34" customWidth="1"/>
    <col min="7172" max="7172" width="8.85546875" style="34" customWidth="1"/>
    <col min="7173" max="7173" width="7.5703125" style="34" customWidth="1"/>
    <col min="7174" max="7174" width="12.140625" style="34" customWidth="1"/>
    <col min="7175" max="7175" width="10" style="34" customWidth="1"/>
    <col min="7176" max="7176" width="11.140625" style="34" customWidth="1"/>
    <col min="7177" max="7177" width="9.5703125" style="34" customWidth="1"/>
    <col min="7178" max="7178" width="9.140625" style="34"/>
    <col min="7179" max="7179" width="8.140625" style="34" customWidth="1"/>
    <col min="7180" max="7180" width="9.7109375" style="34" customWidth="1"/>
    <col min="7181" max="7181" width="8.7109375" style="34" customWidth="1"/>
    <col min="7182" max="7182" width="7.140625" style="34" customWidth="1"/>
    <col min="7183" max="7424" width="9.140625" style="34"/>
    <col min="7425" max="7425" width="24.5703125" style="34" customWidth="1"/>
    <col min="7426" max="7426" width="9" style="34" customWidth="1"/>
    <col min="7427" max="7427" width="7.42578125" style="34" customWidth="1"/>
    <col min="7428" max="7428" width="8.85546875" style="34" customWidth="1"/>
    <col min="7429" max="7429" width="7.5703125" style="34" customWidth="1"/>
    <col min="7430" max="7430" width="12.140625" style="34" customWidth="1"/>
    <col min="7431" max="7431" width="10" style="34" customWidth="1"/>
    <col min="7432" max="7432" width="11.140625" style="34" customWidth="1"/>
    <col min="7433" max="7433" width="9.5703125" style="34" customWidth="1"/>
    <col min="7434" max="7434" width="9.140625" style="34"/>
    <col min="7435" max="7435" width="8.140625" style="34" customWidth="1"/>
    <col min="7436" max="7436" width="9.7109375" style="34" customWidth="1"/>
    <col min="7437" max="7437" width="8.7109375" style="34" customWidth="1"/>
    <col min="7438" max="7438" width="7.140625" style="34" customWidth="1"/>
    <col min="7439" max="7680" width="9.140625" style="34"/>
    <col min="7681" max="7681" width="24.5703125" style="34" customWidth="1"/>
    <col min="7682" max="7682" width="9" style="34" customWidth="1"/>
    <col min="7683" max="7683" width="7.42578125" style="34" customWidth="1"/>
    <col min="7684" max="7684" width="8.85546875" style="34" customWidth="1"/>
    <col min="7685" max="7685" width="7.5703125" style="34" customWidth="1"/>
    <col min="7686" max="7686" width="12.140625" style="34" customWidth="1"/>
    <col min="7687" max="7687" width="10" style="34" customWidth="1"/>
    <col min="7688" max="7688" width="11.140625" style="34" customWidth="1"/>
    <col min="7689" max="7689" width="9.5703125" style="34" customWidth="1"/>
    <col min="7690" max="7690" width="9.140625" style="34"/>
    <col min="7691" max="7691" width="8.140625" style="34" customWidth="1"/>
    <col min="7692" max="7692" width="9.7109375" style="34" customWidth="1"/>
    <col min="7693" max="7693" width="8.7109375" style="34" customWidth="1"/>
    <col min="7694" max="7694" width="7.140625" style="34" customWidth="1"/>
    <col min="7695" max="7936" width="9.140625" style="34"/>
    <col min="7937" max="7937" width="24.5703125" style="34" customWidth="1"/>
    <col min="7938" max="7938" width="9" style="34" customWidth="1"/>
    <col min="7939" max="7939" width="7.42578125" style="34" customWidth="1"/>
    <col min="7940" max="7940" width="8.85546875" style="34" customWidth="1"/>
    <col min="7941" max="7941" width="7.5703125" style="34" customWidth="1"/>
    <col min="7942" max="7942" width="12.140625" style="34" customWidth="1"/>
    <col min="7943" max="7943" width="10" style="34" customWidth="1"/>
    <col min="7944" max="7944" width="11.140625" style="34" customWidth="1"/>
    <col min="7945" max="7945" width="9.5703125" style="34" customWidth="1"/>
    <col min="7946" max="7946" width="9.140625" style="34"/>
    <col min="7947" max="7947" width="8.140625" style="34" customWidth="1"/>
    <col min="7948" max="7948" width="9.7109375" style="34" customWidth="1"/>
    <col min="7949" max="7949" width="8.7109375" style="34" customWidth="1"/>
    <col min="7950" max="7950" width="7.140625" style="34" customWidth="1"/>
    <col min="7951" max="8192" width="9.140625" style="34"/>
    <col min="8193" max="8193" width="24.5703125" style="34" customWidth="1"/>
    <col min="8194" max="8194" width="9" style="34" customWidth="1"/>
    <col min="8195" max="8195" width="7.42578125" style="34" customWidth="1"/>
    <col min="8196" max="8196" width="8.85546875" style="34" customWidth="1"/>
    <col min="8197" max="8197" width="7.5703125" style="34" customWidth="1"/>
    <col min="8198" max="8198" width="12.140625" style="34" customWidth="1"/>
    <col min="8199" max="8199" width="10" style="34" customWidth="1"/>
    <col min="8200" max="8200" width="11.140625" style="34" customWidth="1"/>
    <col min="8201" max="8201" width="9.5703125" style="34" customWidth="1"/>
    <col min="8202" max="8202" width="9.140625" style="34"/>
    <col min="8203" max="8203" width="8.140625" style="34" customWidth="1"/>
    <col min="8204" max="8204" width="9.7109375" style="34" customWidth="1"/>
    <col min="8205" max="8205" width="8.7109375" style="34" customWidth="1"/>
    <col min="8206" max="8206" width="7.140625" style="34" customWidth="1"/>
    <col min="8207" max="8448" width="9.140625" style="34"/>
    <col min="8449" max="8449" width="24.5703125" style="34" customWidth="1"/>
    <col min="8450" max="8450" width="9" style="34" customWidth="1"/>
    <col min="8451" max="8451" width="7.42578125" style="34" customWidth="1"/>
    <col min="8452" max="8452" width="8.85546875" style="34" customWidth="1"/>
    <col min="8453" max="8453" width="7.5703125" style="34" customWidth="1"/>
    <col min="8454" max="8454" width="12.140625" style="34" customWidth="1"/>
    <col min="8455" max="8455" width="10" style="34" customWidth="1"/>
    <col min="8456" max="8456" width="11.140625" style="34" customWidth="1"/>
    <col min="8457" max="8457" width="9.5703125" style="34" customWidth="1"/>
    <col min="8458" max="8458" width="9.140625" style="34"/>
    <col min="8459" max="8459" width="8.140625" style="34" customWidth="1"/>
    <col min="8460" max="8460" width="9.7109375" style="34" customWidth="1"/>
    <col min="8461" max="8461" width="8.7109375" style="34" customWidth="1"/>
    <col min="8462" max="8462" width="7.140625" style="34" customWidth="1"/>
    <col min="8463" max="8704" width="9.140625" style="34"/>
    <col min="8705" max="8705" width="24.5703125" style="34" customWidth="1"/>
    <col min="8706" max="8706" width="9" style="34" customWidth="1"/>
    <col min="8707" max="8707" width="7.42578125" style="34" customWidth="1"/>
    <col min="8708" max="8708" width="8.85546875" style="34" customWidth="1"/>
    <col min="8709" max="8709" width="7.5703125" style="34" customWidth="1"/>
    <col min="8710" max="8710" width="12.140625" style="34" customWidth="1"/>
    <col min="8711" max="8711" width="10" style="34" customWidth="1"/>
    <col min="8712" max="8712" width="11.140625" style="34" customWidth="1"/>
    <col min="8713" max="8713" width="9.5703125" style="34" customWidth="1"/>
    <col min="8714" max="8714" width="9.140625" style="34"/>
    <col min="8715" max="8715" width="8.140625" style="34" customWidth="1"/>
    <col min="8716" max="8716" width="9.7109375" style="34" customWidth="1"/>
    <col min="8717" max="8717" width="8.7109375" style="34" customWidth="1"/>
    <col min="8718" max="8718" width="7.140625" style="34" customWidth="1"/>
    <col min="8719" max="8960" width="9.140625" style="34"/>
    <col min="8961" max="8961" width="24.5703125" style="34" customWidth="1"/>
    <col min="8962" max="8962" width="9" style="34" customWidth="1"/>
    <col min="8963" max="8963" width="7.42578125" style="34" customWidth="1"/>
    <col min="8964" max="8964" width="8.85546875" style="34" customWidth="1"/>
    <col min="8965" max="8965" width="7.5703125" style="34" customWidth="1"/>
    <col min="8966" max="8966" width="12.140625" style="34" customWidth="1"/>
    <col min="8967" max="8967" width="10" style="34" customWidth="1"/>
    <col min="8968" max="8968" width="11.140625" style="34" customWidth="1"/>
    <col min="8969" max="8969" width="9.5703125" style="34" customWidth="1"/>
    <col min="8970" max="8970" width="9.140625" style="34"/>
    <col min="8971" max="8971" width="8.140625" style="34" customWidth="1"/>
    <col min="8972" max="8972" width="9.7109375" style="34" customWidth="1"/>
    <col min="8973" max="8973" width="8.7109375" style="34" customWidth="1"/>
    <col min="8974" max="8974" width="7.140625" style="34" customWidth="1"/>
    <col min="8975" max="9216" width="9.140625" style="34"/>
    <col min="9217" max="9217" width="24.5703125" style="34" customWidth="1"/>
    <col min="9218" max="9218" width="9" style="34" customWidth="1"/>
    <col min="9219" max="9219" width="7.42578125" style="34" customWidth="1"/>
    <col min="9220" max="9220" width="8.85546875" style="34" customWidth="1"/>
    <col min="9221" max="9221" width="7.5703125" style="34" customWidth="1"/>
    <col min="9222" max="9222" width="12.140625" style="34" customWidth="1"/>
    <col min="9223" max="9223" width="10" style="34" customWidth="1"/>
    <col min="9224" max="9224" width="11.140625" style="34" customWidth="1"/>
    <col min="9225" max="9225" width="9.5703125" style="34" customWidth="1"/>
    <col min="9226" max="9226" width="9.140625" style="34"/>
    <col min="9227" max="9227" width="8.140625" style="34" customWidth="1"/>
    <col min="9228" max="9228" width="9.7109375" style="34" customWidth="1"/>
    <col min="9229" max="9229" width="8.7109375" style="34" customWidth="1"/>
    <col min="9230" max="9230" width="7.140625" style="34" customWidth="1"/>
    <col min="9231" max="9472" width="9.140625" style="34"/>
    <col min="9473" max="9473" width="24.5703125" style="34" customWidth="1"/>
    <col min="9474" max="9474" width="9" style="34" customWidth="1"/>
    <col min="9475" max="9475" width="7.42578125" style="34" customWidth="1"/>
    <col min="9476" max="9476" width="8.85546875" style="34" customWidth="1"/>
    <col min="9477" max="9477" width="7.5703125" style="34" customWidth="1"/>
    <col min="9478" max="9478" width="12.140625" style="34" customWidth="1"/>
    <col min="9479" max="9479" width="10" style="34" customWidth="1"/>
    <col min="9480" max="9480" width="11.140625" style="34" customWidth="1"/>
    <col min="9481" max="9481" width="9.5703125" style="34" customWidth="1"/>
    <col min="9482" max="9482" width="9.140625" style="34"/>
    <col min="9483" max="9483" width="8.140625" style="34" customWidth="1"/>
    <col min="9484" max="9484" width="9.7109375" style="34" customWidth="1"/>
    <col min="9485" max="9485" width="8.7109375" style="34" customWidth="1"/>
    <col min="9486" max="9486" width="7.140625" style="34" customWidth="1"/>
    <col min="9487" max="9728" width="9.140625" style="34"/>
    <col min="9729" max="9729" width="24.5703125" style="34" customWidth="1"/>
    <col min="9730" max="9730" width="9" style="34" customWidth="1"/>
    <col min="9731" max="9731" width="7.42578125" style="34" customWidth="1"/>
    <col min="9732" max="9732" width="8.85546875" style="34" customWidth="1"/>
    <col min="9733" max="9733" width="7.5703125" style="34" customWidth="1"/>
    <col min="9734" max="9734" width="12.140625" style="34" customWidth="1"/>
    <col min="9735" max="9735" width="10" style="34" customWidth="1"/>
    <col min="9736" max="9736" width="11.140625" style="34" customWidth="1"/>
    <col min="9737" max="9737" width="9.5703125" style="34" customWidth="1"/>
    <col min="9738" max="9738" width="9.140625" style="34"/>
    <col min="9739" max="9739" width="8.140625" style="34" customWidth="1"/>
    <col min="9740" max="9740" width="9.7109375" style="34" customWidth="1"/>
    <col min="9741" max="9741" width="8.7109375" style="34" customWidth="1"/>
    <col min="9742" max="9742" width="7.140625" style="34" customWidth="1"/>
    <col min="9743" max="9984" width="9.140625" style="34"/>
    <col min="9985" max="9985" width="24.5703125" style="34" customWidth="1"/>
    <col min="9986" max="9986" width="9" style="34" customWidth="1"/>
    <col min="9987" max="9987" width="7.42578125" style="34" customWidth="1"/>
    <col min="9988" max="9988" width="8.85546875" style="34" customWidth="1"/>
    <col min="9989" max="9989" width="7.5703125" style="34" customWidth="1"/>
    <col min="9990" max="9990" width="12.140625" style="34" customWidth="1"/>
    <col min="9991" max="9991" width="10" style="34" customWidth="1"/>
    <col min="9992" max="9992" width="11.140625" style="34" customWidth="1"/>
    <col min="9993" max="9993" width="9.5703125" style="34" customWidth="1"/>
    <col min="9994" max="9994" width="9.140625" style="34"/>
    <col min="9995" max="9995" width="8.140625" style="34" customWidth="1"/>
    <col min="9996" max="9996" width="9.7109375" style="34" customWidth="1"/>
    <col min="9997" max="9997" width="8.7109375" style="34" customWidth="1"/>
    <col min="9998" max="9998" width="7.140625" style="34" customWidth="1"/>
    <col min="9999" max="10240" width="9.140625" style="34"/>
    <col min="10241" max="10241" width="24.5703125" style="34" customWidth="1"/>
    <col min="10242" max="10242" width="9" style="34" customWidth="1"/>
    <col min="10243" max="10243" width="7.42578125" style="34" customWidth="1"/>
    <col min="10244" max="10244" width="8.85546875" style="34" customWidth="1"/>
    <col min="10245" max="10245" width="7.5703125" style="34" customWidth="1"/>
    <col min="10246" max="10246" width="12.140625" style="34" customWidth="1"/>
    <col min="10247" max="10247" width="10" style="34" customWidth="1"/>
    <col min="10248" max="10248" width="11.140625" style="34" customWidth="1"/>
    <col min="10249" max="10249" width="9.5703125" style="34" customWidth="1"/>
    <col min="10250" max="10250" width="9.140625" style="34"/>
    <col min="10251" max="10251" width="8.140625" style="34" customWidth="1"/>
    <col min="10252" max="10252" width="9.7109375" style="34" customWidth="1"/>
    <col min="10253" max="10253" width="8.7109375" style="34" customWidth="1"/>
    <col min="10254" max="10254" width="7.140625" style="34" customWidth="1"/>
    <col min="10255" max="10496" width="9.140625" style="34"/>
    <col min="10497" max="10497" width="24.5703125" style="34" customWidth="1"/>
    <col min="10498" max="10498" width="9" style="34" customWidth="1"/>
    <col min="10499" max="10499" width="7.42578125" style="34" customWidth="1"/>
    <col min="10500" max="10500" width="8.85546875" style="34" customWidth="1"/>
    <col min="10501" max="10501" width="7.5703125" style="34" customWidth="1"/>
    <col min="10502" max="10502" width="12.140625" style="34" customWidth="1"/>
    <col min="10503" max="10503" width="10" style="34" customWidth="1"/>
    <col min="10504" max="10504" width="11.140625" style="34" customWidth="1"/>
    <col min="10505" max="10505" width="9.5703125" style="34" customWidth="1"/>
    <col min="10506" max="10506" width="9.140625" style="34"/>
    <col min="10507" max="10507" width="8.140625" style="34" customWidth="1"/>
    <col min="10508" max="10508" width="9.7109375" style="34" customWidth="1"/>
    <col min="10509" max="10509" width="8.7109375" style="34" customWidth="1"/>
    <col min="10510" max="10510" width="7.140625" style="34" customWidth="1"/>
    <col min="10511" max="10752" width="9.140625" style="34"/>
    <col min="10753" max="10753" width="24.5703125" style="34" customWidth="1"/>
    <col min="10754" max="10754" width="9" style="34" customWidth="1"/>
    <col min="10755" max="10755" width="7.42578125" style="34" customWidth="1"/>
    <col min="10756" max="10756" width="8.85546875" style="34" customWidth="1"/>
    <col min="10757" max="10757" width="7.5703125" style="34" customWidth="1"/>
    <col min="10758" max="10758" width="12.140625" style="34" customWidth="1"/>
    <col min="10759" max="10759" width="10" style="34" customWidth="1"/>
    <col min="10760" max="10760" width="11.140625" style="34" customWidth="1"/>
    <col min="10761" max="10761" width="9.5703125" style="34" customWidth="1"/>
    <col min="10762" max="10762" width="9.140625" style="34"/>
    <col min="10763" max="10763" width="8.140625" style="34" customWidth="1"/>
    <col min="10764" max="10764" width="9.7109375" style="34" customWidth="1"/>
    <col min="10765" max="10765" width="8.7109375" style="34" customWidth="1"/>
    <col min="10766" max="10766" width="7.140625" style="34" customWidth="1"/>
    <col min="10767" max="11008" width="9.140625" style="34"/>
    <col min="11009" max="11009" width="24.5703125" style="34" customWidth="1"/>
    <col min="11010" max="11010" width="9" style="34" customWidth="1"/>
    <col min="11011" max="11011" width="7.42578125" style="34" customWidth="1"/>
    <col min="11012" max="11012" width="8.85546875" style="34" customWidth="1"/>
    <col min="11013" max="11013" width="7.5703125" style="34" customWidth="1"/>
    <col min="11014" max="11014" width="12.140625" style="34" customWidth="1"/>
    <col min="11015" max="11015" width="10" style="34" customWidth="1"/>
    <col min="11016" max="11016" width="11.140625" style="34" customWidth="1"/>
    <col min="11017" max="11017" width="9.5703125" style="34" customWidth="1"/>
    <col min="11018" max="11018" width="9.140625" style="34"/>
    <col min="11019" max="11019" width="8.140625" style="34" customWidth="1"/>
    <col min="11020" max="11020" width="9.7109375" style="34" customWidth="1"/>
    <col min="11021" max="11021" width="8.7109375" style="34" customWidth="1"/>
    <col min="11022" max="11022" width="7.140625" style="34" customWidth="1"/>
    <col min="11023" max="11264" width="9.140625" style="34"/>
    <col min="11265" max="11265" width="24.5703125" style="34" customWidth="1"/>
    <col min="11266" max="11266" width="9" style="34" customWidth="1"/>
    <col min="11267" max="11267" width="7.42578125" style="34" customWidth="1"/>
    <col min="11268" max="11268" width="8.85546875" style="34" customWidth="1"/>
    <col min="11269" max="11269" width="7.5703125" style="34" customWidth="1"/>
    <col min="11270" max="11270" width="12.140625" style="34" customWidth="1"/>
    <col min="11271" max="11271" width="10" style="34" customWidth="1"/>
    <col min="11272" max="11272" width="11.140625" style="34" customWidth="1"/>
    <col min="11273" max="11273" width="9.5703125" style="34" customWidth="1"/>
    <col min="11274" max="11274" width="9.140625" style="34"/>
    <col min="11275" max="11275" width="8.140625" style="34" customWidth="1"/>
    <col min="11276" max="11276" width="9.7109375" style="34" customWidth="1"/>
    <col min="11277" max="11277" width="8.7109375" style="34" customWidth="1"/>
    <col min="11278" max="11278" width="7.140625" style="34" customWidth="1"/>
    <col min="11279" max="11520" width="9.140625" style="34"/>
    <col min="11521" max="11521" width="24.5703125" style="34" customWidth="1"/>
    <col min="11522" max="11522" width="9" style="34" customWidth="1"/>
    <col min="11523" max="11523" width="7.42578125" style="34" customWidth="1"/>
    <col min="11524" max="11524" width="8.85546875" style="34" customWidth="1"/>
    <col min="11525" max="11525" width="7.5703125" style="34" customWidth="1"/>
    <col min="11526" max="11526" width="12.140625" style="34" customWidth="1"/>
    <col min="11527" max="11527" width="10" style="34" customWidth="1"/>
    <col min="11528" max="11528" width="11.140625" style="34" customWidth="1"/>
    <col min="11529" max="11529" width="9.5703125" style="34" customWidth="1"/>
    <col min="11530" max="11530" width="9.140625" style="34"/>
    <col min="11531" max="11531" width="8.140625" style="34" customWidth="1"/>
    <col min="11532" max="11532" width="9.7109375" style="34" customWidth="1"/>
    <col min="11533" max="11533" width="8.7109375" style="34" customWidth="1"/>
    <col min="11534" max="11534" width="7.140625" style="34" customWidth="1"/>
    <col min="11535" max="11776" width="9.140625" style="34"/>
    <col min="11777" max="11777" width="24.5703125" style="34" customWidth="1"/>
    <col min="11778" max="11778" width="9" style="34" customWidth="1"/>
    <col min="11779" max="11779" width="7.42578125" style="34" customWidth="1"/>
    <col min="11780" max="11780" width="8.85546875" style="34" customWidth="1"/>
    <col min="11781" max="11781" width="7.5703125" style="34" customWidth="1"/>
    <col min="11782" max="11782" width="12.140625" style="34" customWidth="1"/>
    <col min="11783" max="11783" width="10" style="34" customWidth="1"/>
    <col min="11784" max="11784" width="11.140625" style="34" customWidth="1"/>
    <col min="11785" max="11785" width="9.5703125" style="34" customWidth="1"/>
    <col min="11786" max="11786" width="9.140625" style="34"/>
    <col min="11787" max="11787" width="8.140625" style="34" customWidth="1"/>
    <col min="11788" max="11788" width="9.7109375" style="34" customWidth="1"/>
    <col min="11789" max="11789" width="8.7109375" style="34" customWidth="1"/>
    <col min="11790" max="11790" width="7.140625" style="34" customWidth="1"/>
    <col min="11791" max="12032" width="9.140625" style="34"/>
    <col min="12033" max="12033" width="24.5703125" style="34" customWidth="1"/>
    <col min="12034" max="12034" width="9" style="34" customWidth="1"/>
    <col min="12035" max="12035" width="7.42578125" style="34" customWidth="1"/>
    <col min="12036" max="12036" width="8.85546875" style="34" customWidth="1"/>
    <col min="12037" max="12037" width="7.5703125" style="34" customWidth="1"/>
    <col min="12038" max="12038" width="12.140625" style="34" customWidth="1"/>
    <col min="12039" max="12039" width="10" style="34" customWidth="1"/>
    <col min="12040" max="12040" width="11.140625" style="34" customWidth="1"/>
    <col min="12041" max="12041" width="9.5703125" style="34" customWidth="1"/>
    <col min="12042" max="12042" width="9.140625" style="34"/>
    <col min="12043" max="12043" width="8.140625" style="34" customWidth="1"/>
    <col min="12044" max="12044" width="9.7109375" style="34" customWidth="1"/>
    <col min="12045" max="12045" width="8.7109375" style="34" customWidth="1"/>
    <col min="12046" max="12046" width="7.140625" style="34" customWidth="1"/>
    <col min="12047" max="12288" width="9.140625" style="34"/>
    <col min="12289" max="12289" width="24.5703125" style="34" customWidth="1"/>
    <col min="12290" max="12290" width="9" style="34" customWidth="1"/>
    <col min="12291" max="12291" width="7.42578125" style="34" customWidth="1"/>
    <col min="12292" max="12292" width="8.85546875" style="34" customWidth="1"/>
    <col min="12293" max="12293" width="7.5703125" style="34" customWidth="1"/>
    <col min="12294" max="12294" width="12.140625" style="34" customWidth="1"/>
    <col min="12295" max="12295" width="10" style="34" customWidth="1"/>
    <col min="12296" max="12296" width="11.140625" style="34" customWidth="1"/>
    <col min="12297" max="12297" width="9.5703125" style="34" customWidth="1"/>
    <col min="12298" max="12298" width="9.140625" style="34"/>
    <col min="12299" max="12299" width="8.140625" style="34" customWidth="1"/>
    <col min="12300" max="12300" width="9.7109375" style="34" customWidth="1"/>
    <col min="12301" max="12301" width="8.7109375" style="34" customWidth="1"/>
    <col min="12302" max="12302" width="7.140625" style="34" customWidth="1"/>
    <col min="12303" max="12544" width="9.140625" style="34"/>
    <col min="12545" max="12545" width="24.5703125" style="34" customWidth="1"/>
    <col min="12546" max="12546" width="9" style="34" customWidth="1"/>
    <col min="12547" max="12547" width="7.42578125" style="34" customWidth="1"/>
    <col min="12548" max="12548" width="8.85546875" style="34" customWidth="1"/>
    <col min="12549" max="12549" width="7.5703125" style="34" customWidth="1"/>
    <col min="12550" max="12550" width="12.140625" style="34" customWidth="1"/>
    <col min="12551" max="12551" width="10" style="34" customWidth="1"/>
    <col min="12552" max="12552" width="11.140625" style="34" customWidth="1"/>
    <col min="12553" max="12553" width="9.5703125" style="34" customWidth="1"/>
    <col min="12554" max="12554" width="9.140625" style="34"/>
    <col min="12555" max="12555" width="8.140625" style="34" customWidth="1"/>
    <col min="12556" max="12556" width="9.7109375" style="34" customWidth="1"/>
    <col min="12557" max="12557" width="8.7109375" style="34" customWidth="1"/>
    <col min="12558" max="12558" width="7.140625" style="34" customWidth="1"/>
    <col min="12559" max="12800" width="9.140625" style="34"/>
    <col min="12801" max="12801" width="24.5703125" style="34" customWidth="1"/>
    <col min="12802" max="12802" width="9" style="34" customWidth="1"/>
    <col min="12803" max="12803" width="7.42578125" style="34" customWidth="1"/>
    <col min="12804" max="12804" width="8.85546875" style="34" customWidth="1"/>
    <col min="12805" max="12805" width="7.5703125" style="34" customWidth="1"/>
    <col min="12806" max="12806" width="12.140625" style="34" customWidth="1"/>
    <col min="12807" max="12807" width="10" style="34" customWidth="1"/>
    <col min="12808" max="12808" width="11.140625" style="34" customWidth="1"/>
    <col min="12809" max="12809" width="9.5703125" style="34" customWidth="1"/>
    <col min="12810" max="12810" width="9.140625" style="34"/>
    <col min="12811" max="12811" width="8.140625" style="34" customWidth="1"/>
    <col min="12812" max="12812" width="9.7109375" style="34" customWidth="1"/>
    <col min="12813" max="12813" width="8.7109375" style="34" customWidth="1"/>
    <col min="12814" max="12814" width="7.140625" style="34" customWidth="1"/>
    <col min="12815" max="13056" width="9.140625" style="34"/>
    <col min="13057" max="13057" width="24.5703125" style="34" customWidth="1"/>
    <col min="13058" max="13058" width="9" style="34" customWidth="1"/>
    <col min="13059" max="13059" width="7.42578125" style="34" customWidth="1"/>
    <col min="13060" max="13060" width="8.85546875" style="34" customWidth="1"/>
    <col min="13061" max="13061" width="7.5703125" style="34" customWidth="1"/>
    <col min="13062" max="13062" width="12.140625" style="34" customWidth="1"/>
    <col min="13063" max="13063" width="10" style="34" customWidth="1"/>
    <col min="13064" max="13064" width="11.140625" style="34" customWidth="1"/>
    <col min="13065" max="13065" width="9.5703125" style="34" customWidth="1"/>
    <col min="13066" max="13066" width="9.140625" style="34"/>
    <col min="13067" max="13067" width="8.140625" style="34" customWidth="1"/>
    <col min="13068" max="13068" width="9.7109375" style="34" customWidth="1"/>
    <col min="13069" max="13069" width="8.7109375" style="34" customWidth="1"/>
    <col min="13070" max="13070" width="7.140625" style="34" customWidth="1"/>
    <col min="13071" max="13312" width="9.140625" style="34"/>
    <col min="13313" max="13313" width="24.5703125" style="34" customWidth="1"/>
    <col min="13314" max="13314" width="9" style="34" customWidth="1"/>
    <col min="13315" max="13315" width="7.42578125" style="34" customWidth="1"/>
    <col min="13316" max="13316" width="8.85546875" style="34" customWidth="1"/>
    <col min="13317" max="13317" width="7.5703125" style="34" customWidth="1"/>
    <col min="13318" max="13318" width="12.140625" style="34" customWidth="1"/>
    <col min="13319" max="13319" width="10" style="34" customWidth="1"/>
    <col min="13320" max="13320" width="11.140625" style="34" customWidth="1"/>
    <col min="13321" max="13321" width="9.5703125" style="34" customWidth="1"/>
    <col min="13322" max="13322" width="9.140625" style="34"/>
    <col min="13323" max="13323" width="8.140625" style="34" customWidth="1"/>
    <col min="13324" max="13324" width="9.7109375" style="34" customWidth="1"/>
    <col min="13325" max="13325" width="8.7109375" style="34" customWidth="1"/>
    <col min="13326" max="13326" width="7.140625" style="34" customWidth="1"/>
    <col min="13327" max="13568" width="9.140625" style="34"/>
    <col min="13569" max="13569" width="24.5703125" style="34" customWidth="1"/>
    <col min="13570" max="13570" width="9" style="34" customWidth="1"/>
    <col min="13571" max="13571" width="7.42578125" style="34" customWidth="1"/>
    <col min="13572" max="13572" width="8.85546875" style="34" customWidth="1"/>
    <col min="13573" max="13573" width="7.5703125" style="34" customWidth="1"/>
    <col min="13574" max="13574" width="12.140625" style="34" customWidth="1"/>
    <col min="13575" max="13575" width="10" style="34" customWidth="1"/>
    <col min="13576" max="13576" width="11.140625" style="34" customWidth="1"/>
    <col min="13577" max="13577" width="9.5703125" style="34" customWidth="1"/>
    <col min="13578" max="13578" width="9.140625" style="34"/>
    <col min="13579" max="13579" width="8.140625" style="34" customWidth="1"/>
    <col min="13580" max="13580" width="9.7109375" style="34" customWidth="1"/>
    <col min="13581" max="13581" width="8.7109375" style="34" customWidth="1"/>
    <col min="13582" max="13582" width="7.140625" style="34" customWidth="1"/>
    <col min="13583" max="13824" width="9.140625" style="34"/>
    <col min="13825" max="13825" width="24.5703125" style="34" customWidth="1"/>
    <col min="13826" max="13826" width="9" style="34" customWidth="1"/>
    <col min="13827" max="13827" width="7.42578125" style="34" customWidth="1"/>
    <col min="13828" max="13828" width="8.85546875" style="34" customWidth="1"/>
    <col min="13829" max="13829" width="7.5703125" style="34" customWidth="1"/>
    <col min="13830" max="13830" width="12.140625" style="34" customWidth="1"/>
    <col min="13831" max="13831" width="10" style="34" customWidth="1"/>
    <col min="13832" max="13832" width="11.140625" style="34" customWidth="1"/>
    <col min="13833" max="13833" width="9.5703125" style="34" customWidth="1"/>
    <col min="13834" max="13834" width="9.140625" style="34"/>
    <col min="13835" max="13835" width="8.140625" style="34" customWidth="1"/>
    <col min="13836" max="13836" width="9.7109375" style="34" customWidth="1"/>
    <col min="13837" max="13837" width="8.7109375" style="34" customWidth="1"/>
    <col min="13838" max="13838" width="7.140625" style="34" customWidth="1"/>
    <col min="13839" max="14080" width="9.140625" style="34"/>
    <col min="14081" max="14081" width="24.5703125" style="34" customWidth="1"/>
    <col min="14082" max="14082" width="9" style="34" customWidth="1"/>
    <col min="14083" max="14083" width="7.42578125" style="34" customWidth="1"/>
    <col min="14084" max="14084" width="8.85546875" style="34" customWidth="1"/>
    <col min="14085" max="14085" width="7.5703125" style="34" customWidth="1"/>
    <col min="14086" max="14086" width="12.140625" style="34" customWidth="1"/>
    <col min="14087" max="14087" width="10" style="34" customWidth="1"/>
    <col min="14088" max="14088" width="11.140625" style="34" customWidth="1"/>
    <col min="14089" max="14089" width="9.5703125" style="34" customWidth="1"/>
    <col min="14090" max="14090" width="9.140625" style="34"/>
    <col min="14091" max="14091" width="8.140625" style="34" customWidth="1"/>
    <col min="14092" max="14092" width="9.7109375" style="34" customWidth="1"/>
    <col min="14093" max="14093" width="8.7109375" style="34" customWidth="1"/>
    <col min="14094" max="14094" width="7.140625" style="34" customWidth="1"/>
    <col min="14095" max="14336" width="9.140625" style="34"/>
    <col min="14337" max="14337" width="24.5703125" style="34" customWidth="1"/>
    <col min="14338" max="14338" width="9" style="34" customWidth="1"/>
    <col min="14339" max="14339" width="7.42578125" style="34" customWidth="1"/>
    <col min="14340" max="14340" width="8.85546875" style="34" customWidth="1"/>
    <col min="14341" max="14341" width="7.5703125" style="34" customWidth="1"/>
    <col min="14342" max="14342" width="12.140625" style="34" customWidth="1"/>
    <col min="14343" max="14343" width="10" style="34" customWidth="1"/>
    <col min="14344" max="14344" width="11.140625" style="34" customWidth="1"/>
    <col min="14345" max="14345" width="9.5703125" style="34" customWidth="1"/>
    <col min="14346" max="14346" width="9.140625" style="34"/>
    <col min="14347" max="14347" width="8.140625" style="34" customWidth="1"/>
    <col min="14348" max="14348" width="9.7109375" style="34" customWidth="1"/>
    <col min="14349" max="14349" width="8.7109375" style="34" customWidth="1"/>
    <col min="14350" max="14350" width="7.140625" style="34" customWidth="1"/>
    <col min="14351" max="14592" width="9.140625" style="34"/>
    <col min="14593" max="14593" width="24.5703125" style="34" customWidth="1"/>
    <col min="14594" max="14594" width="9" style="34" customWidth="1"/>
    <col min="14595" max="14595" width="7.42578125" style="34" customWidth="1"/>
    <col min="14596" max="14596" width="8.85546875" style="34" customWidth="1"/>
    <col min="14597" max="14597" width="7.5703125" style="34" customWidth="1"/>
    <col min="14598" max="14598" width="12.140625" style="34" customWidth="1"/>
    <col min="14599" max="14599" width="10" style="34" customWidth="1"/>
    <col min="14600" max="14600" width="11.140625" style="34" customWidth="1"/>
    <col min="14601" max="14601" width="9.5703125" style="34" customWidth="1"/>
    <col min="14602" max="14602" width="9.140625" style="34"/>
    <col min="14603" max="14603" width="8.140625" style="34" customWidth="1"/>
    <col min="14604" max="14604" width="9.7109375" style="34" customWidth="1"/>
    <col min="14605" max="14605" width="8.7109375" style="34" customWidth="1"/>
    <col min="14606" max="14606" width="7.140625" style="34" customWidth="1"/>
    <col min="14607" max="14848" width="9.140625" style="34"/>
    <col min="14849" max="14849" width="24.5703125" style="34" customWidth="1"/>
    <col min="14850" max="14850" width="9" style="34" customWidth="1"/>
    <col min="14851" max="14851" width="7.42578125" style="34" customWidth="1"/>
    <col min="14852" max="14852" width="8.85546875" style="34" customWidth="1"/>
    <col min="14853" max="14853" width="7.5703125" style="34" customWidth="1"/>
    <col min="14854" max="14854" width="12.140625" style="34" customWidth="1"/>
    <col min="14855" max="14855" width="10" style="34" customWidth="1"/>
    <col min="14856" max="14856" width="11.140625" style="34" customWidth="1"/>
    <col min="14857" max="14857" width="9.5703125" style="34" customWidth="1"/>
    <col min="14858" max="14858" width="9.140625" style="34"/>
    <col min="14859" max="14859" width="8.140625" style="34" customWidth="1"/>
    <col min="14860" max="14860" width="9.7109375" style="34" customWidth="1"/>
    <col min="14861" max="14861" width="8.7109375" style="34" customWidth="1"/>
    <col min="14862" max="14862" width="7.140625" style="34" customWidth="1"/>
    <col min="14863" max="15104" width="9.140625" style="34"/>
    <col min="15105" max="15105" width="24.5703125" style="34" customWidth="1"/>
    <col min="15106" max="15106" width="9" style="34" customWidth="1"/>
    <col min="15107" max="15107" width="7.42578125" style="34" customWidth="1"/>
    <col min="15108" max="15108" width="8.85546875" style="34" customWidth="1"/>
    <col min="15109" max="15109" width="7.5703125" style="34" customWidth="1"/>
    <col min="15110" max="15110" width="12.140625" style="34" customWidth="1"/>
    <col min="15111" max="15111" width="10" style="34" customWidth="1"/>
    <col min="15112" max="15112" width="11.140625" style="34" customWidth="1"/>
    <col min="15113" max="15113" width="9.5703125" style="34" customWidth="1"/>
    <col min="15114" max="15114" width="9.140625" style="34"/>
    <col min="15115" max="15115" width="8.140625" style="34" customWidth="1"/>
    <col min="15116" max="15116" width="9.7109375" style="34" customWidth="1"/>
    <col min="15117" max="15117" width="8.7109375" style="34" customWidth="1"/>
    <col min="15118" max="15118" width="7.140625" style="34" customWidth="1"/>
    <col min="15119" max="15360" width="9.140625" style="34"/>
    <col min="15361" max="15361" width="24.5703125" style="34" customWidth="1"/>
    <col min="15362" max="15362" width="9" style="34" customWidth="1"/>
    <col min="15363" max="15363" width="7.42578125" style="34" customWidth="1"/>
    <col min="15364" max="15364" width="8.85546875" style="34" customWidth="1"/>
    <col min="15365" max="15365" width="7.5703125" style="34" customWidth="1"/>
    <col min="15366" max="15366" width="12.140625" style="34" customWidth="1"/>
    <col min="15367" max="15367" width="10" style="34" customWidth="1"/>
    <col min="15368" max="15368" width="11.140625" style="34" customWidth="1"/>
    <col min="15369" max="15369" width="9.5703125" style="34" customWidth="1"/>
    <col min="15370" max="15370" width="9.140625" style="34"/>
    <col min="15371" max="15371" width="8.140625" style="34" customWidth="1"/>
    <col min="15372" max="15372" width="9.7109375" style="34" customWidth="1"/>
    <col min="15373" max="15373" width="8.7109375" style="34" customWidth="1"/>
    <col min="15374" max="15374" width="7.140625" style="34" customWidth="1"/>
    <col min="15375" max="15616" width="9.140625" style="34"/>
    <col min="15617" max="15617" width="24.5703125" style="34" customWidth="1"/>
    <col min="15618" max="15618" width="9" style="34" customWidth="1"/>
    <col min="15619" max="15619" width="7.42578125" style="34" customWidth="1"/>
    <col min="15620" max="15620" width="8.85546875" style="34" customWidth="1"/>
    <col min="15621" max="15621" width="7.5703125" style="34" customWidth="1"/>
    <col min="15622" max="15622" width="12.140625" style="34" customWidth="1"/>
    <col min="15623" max="15623" width="10" style="34" customWidth="1"/>
    <col min="15624" max="15624" width="11.140625" style="34" customWidth="1"/>
    <col min="15625" max="15625" width="9.5703125" style="34" customWidth="1"/>
    <col min="15626" max="15626" width="9.140625" style="34"/>
    <col min="15627" max="15627" width="8.140625" style="34" customWidth="1"/>
    <col min="15628" max="15628" width="9.7109375" style="34" customWidth="1"/>
    <col min="15629" max="15629" width="8.7109375" style="34" customWidth="1"/>
    <col min="15630" max="15630" width="7.140625" style="34" customWidth="1"/>
    <col min="15631" max="15872" width="9.140625" style="34"/>
    <col min="15873" max="15873" width="24.5703125" style="34" customWidth="1"/>
    <col min="15874" max="15874" width="9" style="34" customWidth="1"/>
    <col min="15875" max="15875" width="7.42578125" style="34" customWidth="1"/>
    <col min="15876" max="15876" width="8.85546875" style="34" customWidth="1"/>
    <col min="15877" max="15877" width="7.5703125" style="34" customWidth="1"/>
    <col min="15878" max="15878" width="12.140625" style="34" customWidth="1"/>
    <col min="15879" max="15879" width="10" style="34" customWidth="1"/>
    <col min="15880" max="15880" width="11.140625" style="34" customWidth="1"/>
    <col min="15881" max="15881" width="9.5703125" style="34" customWidth="1"/>
    <col min="15882" max="15882" width="9.140625" style="34"/>
    <col min="15883" max="15883" width="8.140625" style="34" customWidth="1"/>
    <col min="15884" max="15884" width="9.7109375" style="34" customWidth="1"/>
    <col min="15885" max="15885" width="8.7109375" style="34" customWidth="1"/>
    <col min="15886" max="15886" width="7.140625" style="34" customWidth="1"/>
    <col min="15887" max="16128" width="9.140625" style="34"/>
    <col min="16129" max="16129" width="24.5703125" style="34" customWidth="1"/>
    <col min="16130" max="16130" width="9" style="34" customWidth="1"/>
    <col min="16131" max="16131" width="7.42578125" style="34" customWidth="1"/>
    <col min="16132" max="16132" width="8.85546875" style="34" customWidth="1"/>
    <col min="16133" max="16133" width="7.5703125" style="34" customWidth="1"/>
    <col min="16134" max="16134" width="12.140625" style="34" customWidth="1"/>
    <col min="16135" max="16135" width="10" style="34" customWidth="1"/>
    <col min="16136" max="16136" width="11.140625" style="34" customWidth="1"/>
    <col min="16137" max="16137" width="9.5703125" style="34" customWidth="1"/>
    <col min="16138" max="16138" width="9.140625" style="34"/>
    <col min="16139" max="16139" width="8.140625" style="34" customWidth="1"/>
    <col min="16140" max="16140" width="9.7109375" style="34" customWidth="1"/>
    <col min="16141" max="16141" width="8.7109375" style="34" customWidth="1"/>
    <col min="16142" max="16142" width="7.140625" style="34" customWidth="1"/>
    <col min="16143" max="16384" width="9.140625" style="34"/>
  </cols>
  <sheetData>
    <row r="1" spans="1:14" ht="18">
      <c r="A1" s="874" t="s">
        <v>209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</row>
    <row r="2" spans="1:14">
      <c r="A2" s="875" t="s">
        <v>468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</row>
    <row r="3" spans="1:14" ht="15">
      <c r="A3" s="489" t="s">
        <v>585</v>
      </c>
      <c r="B3" s="489"/>
      <c r="C3" s="489"/>
    </row>
    <row r="4" spans="1:14" s="44" customFormat="1" ht="15.95" customHeight="1">
      <c r="A4" s="46" t="s">
        <v>272</v>
      </c>
      <c r="B4" s="876" t="s">
        <v>479</v>
      </c>
      <c r="C4" s="876"/>
      <c r="D4" s="876"/>
      <c r="E4" s="876"/>
      <c r="F4" s="873" t="s">
        <v>470</v>
      </c>
      <c r="G4" s="877"/>
      <c r="H4" s="404">
        <v>9</v>
      </c>
      <c r="I4" s="873" t="s">
        <v>208</v>
      </c>
      <c r="J4" s="877"/>
      <c r="K4" s="49">
        <v>4848</v>
      </c>
      <c r="L4" s="873" t="s">
        <v>33</v>
      </c>
      <c r="M4" s="873"/>
      <c r="N4" s="404" t="s">
        <v>207</v>
      </c>
    </row>
    <row r="5" spans="1:14" s="44" customFormat="1" ht="15.95" customHeight="1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s="44" customFormat="1" ht="15.95" customHeight="1">
      <c r="A6" s="48" t="s">
        <v>347</v>
      </c>
      <c r="B6" s="886" t="s">
        <v>480</v>
      </c>
      <c r="C6" s="887"/>
      <c r="D6" s="887"/>
      <c r="E6" s="888"/>
      <c r="F6" s="872" t="s">
        <v>472</v>
      </c>
      <c r="G6" s="877"/>
      <c r="H6" s="886" t="s">
        <v>481</v>
      </c>
      <c r="I6" s="887"/>
      <c r="J6" s="887"/>
      <c r="K6" s="888"/>
      <c r="L6" s="45"/>
      <c r="M6" s="45"/>
      <c r="N6" s="45"/>
    </row>
    <row r="7" spans="1:14" s="44" customFormat="1" ht="15.95" customHeight="1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s="132" customFormat="1" ht="51" customHeight="1">
      <c r="A8" s="131" t="s">
        <v>474</v>
      </c>
      <c r="B8" s="878" t="s">
        <v>482</v>
      </c>
      <c r="C8" s="879"/>
      <c r="D8" s="879"/>
      <c r="E8" s="879"/>
      <c r="F8" s="879"/>
      <c r="G8" s="880"/>
      <c r="H8" s="36"/>
      <c r="I8" s="878" t="s">
        <v>483</v>
      </c>
      <c r="J8" s="879"/>
      <c r="K8" s="879"/>
      <c r="L8" s="879"/>
      <c r="M8" s="879"/>
      <c r="N8" s="880"/>
    </row>
    <row r="9" spans="1:14" s="44" customFormat="1" ht="15.9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s="44" customFormat="1" ht="15.95" customHeight="1">
      <c r="A10" s="46" t="s">
        <v>206</v>
      </c>
      <c r="B10" s="404">
        <v>12</v>
      </c>
      <c r="C10" s="872" t="s">
        <v>205</v>
      </c>
      <c r="D10" s="873"/>
      <c r="E10" s="873"/>
      <c r="F10" s="404">
        <v>6</v>
      </c>
      <c r="G10" s="47" t="s">
        <v>163</v>
      </c>
      <c r="H10" s="404">
        <v>208</v>
      </c>
      <c r="I10" s="403" t="s">
        <v>204</v>
      </c>
      <c r="J10" s="404">
        <v>1</v>
      </c>
      <c r="K10" s="403" t="s">
        <v>203</v>
      </c>
      <c r="L10" s="404"/>
      <c r="M10" s="45"/>
      <c r="N10" s="45"/>
    </row>
    <row r="11" spans="1:14" s="44" customFormat="1" ht="15.95" customHeight="1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s="44" customFormat="1" ht="15.95" customHeight="1">
      <c r="A12" s="46" t="s">
        <v>96</v>
      </c>
      <c r="B12" s="403" t="s">
        <v>40</v>
      </c>
      <c r="C12" s="404">
        <v>2005</v>
      </c>
      <c r="D12" s="403" t="s">
        <v>41</v>
      </c>
      <c r="E12" s="404">
        <v>411</v>
      </c>
      <c r="F12" s="403" t="s">
        <v>42</v>
      </c>
      <c r="G12" s="404">
        <v>806</v>
      </c>
      <c r="H12" s="403" t="s">
        <v>64</v>
      </c>
      <c r="I12" s="404">
        <v>3222</v>
      </c>
      <c r="J12" s="47" t="s">
        <v>79</v>
      </c>
      <c r="K12" s="404">
        <v>433</v>
      </c>
      <c r="L12" s="873" t="s">
        <v>202</v>
      </c>
      <c r="M12" s="873"/>
      <c r="N12" s="404"/>
    </row>
    <row r="13" spans="1:14" s="44" customFormat="1" ht="15.95" customHeight="1">
      <c r="A13" s="46" t="s">
        <v>45</v>
      </c>
      <c r="B13" s="403" t="s">
        <v>46</v>
      </c>
      <c r="C13" s="404">
        <v>4795</v>
      </c>
      <c r="D13" s="403" t="s">
        <v>201</v>
      </c>
      <c r="E13" s="404">
        <v>4920</v>
      </c>
      <c r="F13" s="403" t="s">
        <v>48</v>
      </c>
      <c r="G13" s="404">
        <v>1926</v>
      </c>
      <c r="H13" s="403" t="s">
        <v>77</v>
      </c>
      <c r="I13" s="404">
        <v>7585</v>
      </c>
      <c r="J13" s="45"/>
      <c r="K13" s="45"/>
      <c r="L13" s="45"/>
      <c r="M13" s="45"/>
      <c r="N13" s="45"/>
    </row>
    <row r="14" spans="1:14" s="44" customFormat="1" ht="15.95" customHeight="1">
      <c r="B14" s="403" t="s">
        <v>49</v>
      </c>
      <c r="C14" s="404">
        <v>4920</v>
      </c>
      <c r="D14" s="403" t="s">
        <v>50</v>
      </c>
      <c r="E14" s="404">
        <v>946</v>
      </c>
      <c r="F14" s="403" t="s">
        <v>51</v>
      </c>
      <c r="G14" s="404">
        <v>1955</v>
      </c>
      <c r="H14" s="403" t="s">
        <v>76</v>
      </c>
      <c r="I14" s="404">
        <v>7821</v>
      </c>
      <c r="J14" s="45"/>
      <c r="K14" s="45"/>
      <c r="L14" s="45"/>
      <c r="M14" s="45"/>
      <c r="N14" s="45"/>
    </row>
    <row r="15" spans="1:14" s="44" customFormat="1" ht="15.95" customHeight="1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s="44" customFormat="1" ht="15.95" customHeight="1">
      <c r="A16" s="44" t="s">
        <v>52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s="44" customFormat="1" ht="15.95" customHeight="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s="39" customFormat="1" ht="18.75" customHeight="1">
      <c r="A18" s="881" t="s">
        <v>53</v>
      </c>
      <c r="B18" s="881" t="s">
        <v>172</v>
      </c>
      <c r="C18" s="881" t="s">
        <v>55</v>
      </c>
      <c r="D18" s="881" t="s">
        <v>200</v>
      </c>
      <c r="E18" s="881" t="s">
        <v>199</v>
      </c>
      <c r="F18" s="883" t="s">
        <v>198</v>
      </c>
      <c r="G18" s="884"/>
      <c r="H18" s="884"/>
      <c r="I18" s="884"/>
      <c r="J18" s="884"/>
      <c r="K18" s="884"/>
      <c r="L18" s="884"/>
      <c r="M18" s="884"/>
      <c r="N18" s="885"/>
    </row>
    <row r="19" spans="1:14" s="39" customFormat="1" ht="18.75" customHeight="1">
      <c r="A19" s="882"/>
      <c r="B19" s="882"/>
      <c r="C19" s="882"/>
      <c r="D19" s="882"/>
      <c r="E19" s="882"/>
      <c r="F19" s="43" t="s">
        <v>105</v>
      </c>
      <c r="G19" s="43" t="s">
        <v>106</v>
      </c>
      <c r="H19" s="43" t="s">
        <v>107</v>
      </c>
      <c r="I19" s="43" t="s">
        <v>108</v>
      </c>
      <c r="J19" s="43" t="s">
        <v>109</v>
      </c>
      <c r="K19" s="43" t="s">
        <v>110</v>
      </c>
      <c r="L19" s="43" t="s">
        <v>111</v>
      </c>
      <c r="M19" s="43" t="s">
        <v>64</v>
      </c>
      <c r="N19" s="43" t="s">
        <v>65</v>
      </c>
    </row>
    <row r="20" spans="1:14" s="39" customFormat="1" ht="26.1" customHeight="1">
      <c r="A20" s="42" t="s">
        <v>370</v>
      </c>
      <c r="B20" s="40">
        <v>500</v>
      </c>
      <c r="C20" s="40" t="s">
        <v>66</v>
      </c>
      <c r="D20" s="41">
        <v>24.241350000000001</v>
      </c>
      <c r="E20" s="41">
        <v>15.657</v>
      </c>
      <c r="F20" s="40"/>
      <c r="G20" s="41">
        <v>8.13429</v>
      </c>
      <c r="H20" s="135">
        <v>3.3661300000000001</v>
      </c>
      <c r="I20" s="133"/>
      <c r="J20" s="40"/>
      <c r="K20" s="40"/>
      <c r="L20" s="40"/>
      <c r="M20" s="135">
        <v>11.50042</v>
      </c>
      <c r="N20" s="135">
        <v>73.452257776074603</v>
      </c>
    </row>
    <row r="21" spans="1:14" s="39" customFormat="1" ht="26.1" customHeight="1">
      <c r="A21" s="42" t="s">
        <v>320</v>
      </c>
      <c r="B21" s="40">
        <v>360</v>
      </c>
      <c r="C21" s="40" t="s">
        <v>66</v>
      </c>
      <c r="D21" s="41">
        <v>17.453772000000001</v>
      </c>
      <c r="E21" s="41">
        <v>3.44</v>
      </c>
      <c r="F21" s="40"/>
      <c r="G21" s="41">
        <v>0</v>
      </c>
      <c r="H21" s="135">
        <v>1.0642400000000001</v>
      </c>
      <c r="I21" s="133"/>
      <c r="J21" s="40"/>
      <c r="K21" s="40"/>
      <c r="L21" s="40"/>
      <c r="M21" s="135">
        <v>1.0642400000000001</v>
      </c>
      <c r="N21" s="135">
        <v>30.937209302325584</v>
      </c>
    </row>
    <row r="22" spans="1:14" s="39" customFormat="1" ht="26.1" customHeight="1">
      <c r="A22" s="42" t="s">
        <v>321</v>
      </c>
      <c r="B22" s="40">
        <v>8.4</v>
      </c>
      <c r="C22" s="40" t="s">
        <v>477</v>
      </c>
      <c r="D22" s="41">
        <v>58.5</v>
      </c>
      <c r="E22" s="41">
        <v>7.9300199999999998</v>
      </c>
      <c r="F22" s="40"/>
      <c r="G22" s="41">
        <v>3.5200100000000001</v>
      </c>
      <c r="H22" s="135">
        <v>3.4233600000000002</v>
      </c>
      <c r="I22" s="133"/>
      <c r="J22" s="40"/>
      <c r="K22" s="40"/>
      <c r="L22" s="40"/>
      <c r="M22" s="135">
        <v>6.9433699999999998</v>
      </c>
      <c r="N22" s="135">
        <v>87.55803894567731</v>
      </c>
    </row>
    <row r="23" spans="1:14" s="39" customFormat="1" ht="26.1" customHeight="1">
      <c r="A23" s="42" t="s">
        <v>246</v>
      </c>
      <c r="B23" s="40">
        <v>0.84</v>
      </c>
      <c r="C23" s="40" t="s">
        <v>477</v>
      </c>
      <c r="D23" s="40">
        <v>5.88</v>
      </c>
      <c r="E23" s="41">
        <v>1.86097</v>
      </c>
      <c r="F23" s="40"/>
      <c r="G23" s="41">
        <v>1.2849900000000001</v>
      </c>
      <c r="H23" s="135">
        <v>0.47697000000000001</v>
      </c>
      <c r="I23" s="133"/>
      <c r="J23" s="40"/>
      <c r="K23" s="40"/>
      <c r="L23" s="40"/>
      <c r="M23" s="135">
        <v>1.7619600000000002</v>
      </c>
      <c r="N23" s="135">
        <v>94.679656308269358</v>
      </c>
    </row>
    <row r="24" spans="1:14" s="39" customFormat="1" ht="26.1" customHeight="1">
      <c r="A24" s="42" t="s">
        <v>478</v>
      </c>
      <c r="B24" s="40">
        <v>3.6</v>
      </c>
      <c r="C24" s="40" t="s">
        <v>477</v>
      </c>
      <c r="D24" s="40">
        <v>25.2</v>
      </c>
      <c r="E24" s="41">
        <v>4.3073600000000001</v>
      </c>
      <c r="F24" s="40"/>
      <c r="G24" s="41">
        <v>2.1473599999999999</v>
      </c>
      <c r="H24" s="135">
        <v>2.08</v>
      </c>
      <c r="I24" s="133"/>
      <c r="J24" s="40"/>
      <c r="K24" s="40"/>
      <c r="L24" s="40"/>
      <c r="M24" s="135">
        <v>4.22736</v>
      </c>
      <c r="N24" s="135">
        <v>98.142713866498269</v>
      </c>
    </row>
    <row r="25" spans="1:14" s="39" customFormat="1" ht="26.1" customHeight="1">
      <c r="A25" s="42" t="s">
        <v>323</v>
      </c>
      <c r="B25" s="40">
        <v>0.24</v>
      </c>
      <c r="C25" s="40" t="s">
        <v>477</v>
      </c>
      <c r="D25" s="41">
        <v>1.68</v>
      </c>
      <c r="E25" s="41">
        <v>0.51415999999999995</v>
      </c>
      <c r="F25" s="40"/>
      <c r="G25" s="41">
        <v>0.25</v>
      </c>
      <c r="H25" s="135">
        <v>0.15053</v>
      </c>
      <c r="I25" s="133"/>
      <c r="J25" s="40"/>
      <c r="K25" s="40"/>
      <c r="L25" s="40"/>
      <c r="M25" s="135">
        <v>0.40053</v>
      </c>
      <c r="N25" s="135">
        <v>77.899875525128365</v>
      </c>
    </row>
    <row r="26" spans="1:14" s="39" customFormat="1" ht="26.1" customHeight="1">
      <c r="A26" s="42" t="s">
        <v>306</v>
      </c>
      <c r="B26" s="40">
        <v>0.36</v>
      </c>
      <c r="C26" s="40" t="s">
        <v>477</v>
      </c>
      <c r="D26" s="41">
        <v>2.52</v>
      </c>
      <c r="E26" s="41">
        <v>0.76619999999999999</v>
      </c>
      <c r="F26" s="40"/>
      <c r="G26" s="41">
        <v>0.37675999999999998</v>
      </c>
      <c r="H26" s="135">
        <v>0.39011000000000001</v>
      </c>
      <c r="I26" s="133"/>
      <c r="J26" s="40"/>
      <c r="K26" s="40"/>
      <c r="L26" s="40"/>
      <c r="M26" s="135">
        <v>0.76686999999999994</v>
      </c>
      <c r="N26" s="135">
        <v>100.08744453145393</v>
      </c>
    </row>
    <row r="27" spans="1:14" s="39" customFormat="1" ht="26.1" customHeight="1">
      <c r="A27" s="42" t="s">
        <v>113</v>
      </c>
      <c r="B27" s="40">
        <v>0.2</v>
      </c>
      <c r="C27" s="40" t="s">
        <v>68</v>
      </c>
      <c r="D27" s="40">
        <v>0.2</v>
      </c>
      <c r="E27" s="41">
        <v>0.2</v>
      </c>
      <c r="F27" s="40"/>
      <c r="G27" s="41">
        <v>0.2</v>
      </c>
      <c r="H27" s="135">
        <v>0</v>
      </c>
      <c r="I27" s="40"/>
      <c r="J27" s="40"/>
      <c r="K27" s="40"/>
      <c r="L27" s="40"/>
      <c r="M27" s="135">
        <v>0.2</v>
      </c>
      <c r="N27" s="135">
        <v>100</v>
      </c>
    </row>
    <row r="28" spans="1:14" ht="18" customHeight="1">
      <c r="A28" s="134" t="s">
        <v>69</v>
      </c>
      <c r="B28" s="37"/>
      <c r="C28" s="37"/>
      <c r="D28" s="38">
        <v>111.433772</v>
      </c>
      <c r="E28" s="38">
        <v>34.675710000000002</v>
      </c>
      <c r="F28" s="38">
        <v>0</v>
      </c>
      <c r="G28" s="38">
        <v>15.913409999999999</v>
      </c>
      <c r="H28" s="38">
        <v>10.95134</v>
      </c>
      <c r="I28" s="38">
        <v>0</v>
      </c>
      <c r="J28" s="38">
        <v>0</v>
      </c>
      <c r="K28" s="38">
        <v>0</v>
      </c>
      <c r="L28" s="38">
        <v>0</v>
      </c>
      <c r="M28" s="38">
        <v>26.864750000000001</v>
      </c>
      <c r="N28" s="51"/>
    </row>
    <row r="29" spans="1:14">
      <c r="D29" s="136"/>
      <c r="E29" s="136"/>
      <c r="G29" s="136"/>
      <c r="N29" s="137"/>
    </row>
  </sheetData>
  <mergeCells count="20">
    <mergeCell ref="L12:M12"/>
    <mergeCell ref="A18:A19"/>
    <mergeCell ref="B18:B19"/>
    <mergeCell ref="C18:C19"/>
    <mergeCell ref="D18:D19"/>
    <mergeCell ref="E18:E19"/>
    <mergeCell ref="F18:N18"/>
    <mergeCell ref="C10:E10"/>
    <mergeCell ref="A1:N1"/>
    <mergeCell ref="A2:N2"/>
    <mergeCell ref="A3:C3"/>
    <mergeCell ref="B4:E4"/>
    <mergeCell ref="F4:G4"/>
    <mergeCell ref="I4:J4"/>
    <mergeCell ref="L4:M4"/>
    <mergeCell ref="B6:E6"/>
    <mergeCell ref="F6:G6"/>
    <mergeCell ref="H6:K6"/>
    <mergeCell ref="B8:G8"/>
    <mergeCell ref="I8:N8"/>
  </mergeCells>
  <hyperlinks>
    <hyperlink ref="A3" location="'Fact Sheet of VDC'!A1" display="&lt;&lt;Back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"/>
  <sheetViews>
    <sheetView zoomScale="90" zoomScaleNormal="90" workbookViewId="0">
      <selection activeCell="A3" sqref="A3:C3"/>
    </sheetView>
  </sheetViews>
  <sheetFormatPr defaultRowHeight="15"/>
  <cols>
    <col min="1" max="1" width="46.5703125" style="248" bestFit="1" customWidth="1"/>
    <col min="2" max="2" width="10.42578125" style="248" customWidth="1"/>
    <col min="3" max="3" width="13.7109375" style="248" bestFit="1" customWidth="1"/>
    <col min="4" max="4" width="15" style="248" customWidth="1"/>
    <col min="5" max="5" width="11.5703125" style="248" customWidth="1"/>
    <col min="6" max="6" width="14" style="248" customWidth="1"/>
    <col min="7" max="7" width="14.140625" style="248" customWidth="1"/>
    <col min="8" max="8" width="13.140625" style="248" customWidth="1"/>
    <col min="9" max="9" width="13" style="248" customWidth="1"/>
    <col min="10" max="10" width="14.140625" style="248" bestFit="1" customWidth="1"/>
    <col min="11" max="11" width="10.85546875" style="248" customWidth="1"/>
    <col min="12" max="12" width="11.140625" style="248" customWidth="1"/>
    <col min="13" max="13" width="12.5703125" style="248" customWidth="1"/>
    <col min="14" max="14" width="9.28515625" style="248" bestFit="1" customWidth="1"/>
    <col min="15" max="256" width="9.140625" style="248"/>
    <col min="257" max="257" width="46.5703125" style="248" bestFit="1" customWidth="1"/>
    <col min="258" max="258" width="10.42578125" style="248" customWidth="1"/>
    <col min="259" max="259" width="13.7109375" style="248" bestFit="1" customWidth="1"/>
    <col min="260" max="260" width="15" style="248" customWidth="1"/>
    <col min="261" max="261" width="11.5703125" style="248" customWidth="1"/>
    <col min="262" max="262" width="14" style="248" customWidth="1"/>
    <col min="263" max="263" width="14.140625" style="248" customWidth="1"/>
    <col min="264" max="264" width="13.140625" style="248" customWidth="1"/>
    <col min="265" max="265" width="13" style="248" customWidth="1"/>
    <col min="266" max="266" width="14.140625" style="248" bestFit="1" customWidth="1"/>
    <col min="267" max="267" width="10.85546875" style="248" customWidth="1"/>
    <col min="268" max="268" width="11.140625" style="248" customWidth="1"/>
    <col min="269" max="269" width="12.5703125" style="248" customWidth="1"/>
    <col min="270" max="270" width="9.28515625" style="248" bestFit="1" customWidth="1"/>
    <col min="271" max="512" width="9.140625" style="248"/>
    <col min="513" max="513" width="46.5703125" style="248" bestFit="1" customWidth="1"/>
    <col min="514" max="514" width="10.42578125" style="248" customWidth="1"/>
    <col min="515" max="515" width="13.7109375" style="248" bestFit="1" customWidth="1"/>
    <col min="516" max="516" width="15" style="248" customWidth="1"/>
    <col min="517" max="517" width="11.5703125" style="248" customWidth="1"/>
    <col min="518" max="518" width="14" style="248" customWidth="1"/>
    <col min="519" max="519" width="14.140625" style="248" customWidth="1"/>
    <col min="520" max="520" width="13.140625" style="248" customWidth="1"/>
    <col min="521" max="521" width="13" style="248" customWidth="1"/>
    <col min="522" max="522" width="14.140625" style="248" bestFit="1" customWidth="1"/>
    <col min="523" max="523" width="10.85546875" style="248" customWidth="1"/>
    <col min="524" max="524" width="11.140625" style="248" customWidth="1"/>
    <col min="525" max="525" width="12.5703125" style="248" customWidth="1"/>
    <col min="526" max="526" width="9.28515625" style="248" bestFit="1" customWidth="1"/>
    <col min="527" max="768" width="9.140625" style="248"/>
    <col min="769" max="769" width="46.5703125" style="248" bestFit="1" customWidth="1"/>
    <col min="770" max="770" width="10.42578125" style="248" customWidth="1"/>
    <col min="771" max="771" width="13.7109375" style="248" bestFit="1" customWidth="1"/>
    <col min="772" max="772" width="15" style="248" customWidth="1"/>
    <col min="773" max="773" width="11.5703125" style="248" customWidth="1"/>
    <col min="774" max="774" width="14" style="248" customWidth="1"/>
    <col min="775" max="775" width="14.140625" style="248" customWidth="1"/>
    <col min="776" max="776" width="13.140625" style="248" customWidth="1"/>
    <col min="777" max="777" width="13" style="248" customWidth="1"/>
    <col min="778" max="778" width="14.140625" style="248" bestFit="1" customWidth="1"/>
    <col min="779" max="779" width="10.85546875" style="248" customWidth="1"/>
    <col min="780" max="780" width="11.140625" style="248" customWidth="1"/>
    <col min="781" max="781" width="12.5703125" style="248" customWidth="1"/>
    <col min="782" max="782" width="9.28515625" style="248" bestFit="1" customWidth="1"/>
    <col min="783" max="1024" width="9.140625" style="248"/>
    <col min="1025" max="1025" width="46.5703125" style="248" bestFit="1" customWidth="1"/>
    <col min="1026" max="1026" width="10.42578125" style="248" customWidth="1"/>
    <col min="1027" max="1027" width="13.7109375" style="248" bestFit="1" customWidth="1"/>
    <col min="1028" max="1028" width="15" style="248" customWidth="1"/>
    <col min="1029" max="1029" width="11.5703125" style="248" customWidth="1"/>
    <col min="1030" max="1030" width="14" style="248" customWidth="1"/>
    <col min="1031" max="1031" width="14.140625" style="248" customWidth="1"/>
    <col min="1032" max="1032" width="13.140625" style="248" customWidth="1"/>
    <col min="1033" max="1033" width="13" style="248" customWidth="1"/>
    <col min="1034" max="1034" width="14.140625" style="248" bestFit="1" customWidth="1"/>
    <col min="1035" max="1035" width="10.85546875" style="248" customWidth="1"/>
    <col min="1036" max="1036" width="11.140625" style="248" customWidth="1"/>
    <col min="1037" max="1037" width="12.5703125" style="248" customWidth="1"/>
    <col min="1038" max="1038" width="9.28515625" style="248" bestFit="1" customWidth="1"/>
    <col min="1039" max="1280" width="9.140625" style="248"/>
    <col min="1281" max="1281" width="46.5703125" style="248" bestFit="1" customWidth="1"/>
    <col min="1282" max="1282" width="10.42578125" style="248" customWidth="1"/>
    <col min="1283" max="1283" width="13.7109375" style="248" bestFit="1" customWidth="1"/>
    <col min="1284" max="1284" width="15" style="248" customWidth="1"/>
    <col min="1285" max="1285" width="11.5703125" style="248" customWidth="1"/>
    <col min="1286" max="1286" width="14" style="248" customWidth="1"/>
    <col min="1287" max="1287" width="14.140625" style="248" customWidth="1"/>
    <col min="1288" max="1288" width="13.140625" style="248" customWidth="1"/>
    <col min="1289" max="1289" width="13" style="248" customWidth="1"/>
    <col min="1290" max="1290" width="14.140625" style="248" bestFit="1" customWidth="1"/>
    <col min="1291" max="1291" width="10.85546875" style="248" customWidth="1"/>
    <col min="1292" max="1292" width="11.140625" style="248" customWidth="1"/>
    <col min="1293" max="1293" width="12.5703125" style="248" customWidth="1"/>
    <col min="1294" max="1294" width="9.28515625" style="248" bestFit="1" customWidth="1"/>
    <col min="1295" max="1536" width="9.140625" style="248"/>
    <col min="1537" max="1537" width="46.5703125" style="248" bestFit="1" customWidth="1"/>
    <col min="1538" max="1538" width="10.42578125" style="248" customWidth="1"/>
    <col min="1539" max="1539" width="13.7109375" style="248" bestFit="1" customWidth="1"/>
    <col min="1540" max="1540" width="15" style="248" customWidth="1"/>
    <col min="1541" max="1541" width="11.5703125" style="248" customWidth="1"/>
    <col min="1542" max="1542" width="14" style="248" customWidth="1"/>
    <col min="1543" max="1543" width="14.140625" style="248" customWidth="1"/>
    <col min="1544" max="1544" width="13.140625" style="248" customWidth="1"/>
    <col min="1545" max="1545" width="13" style="248" customWidth="1"/>
    <col min="1546" max="1546" width="14.140625" style="248" bestFit="1" customWidth="1"/>
    <col min="1547" max="1547" width="10.85546875" style="248" customWidth="1"/>
    <col min="1548" max="1548" width="11.140625" style="248" customWidth="1"/>
    <col min="1549" max="1549" width="12.5703125" style="248" customWidth="1"/>
    <col min="1550" max="1550" width="9.28515625" style="248" bestFit="1" customWidth="1"/>
    <col min="1551" max="1792" width="9.140625" style="248"/>
    <col min="1793" max="1793" width="46.5703125" style="248" bestFit="1" customWidth="1"/>
    <col min="1794" max="1794" width="10.42578125" style="248" customWidth="1"/>
    <col min="1795" max="1795" width="13.7109375" style="248" bestFit="1" customWidth="1"/>
    <col min="1796" max="1796" width="15" style="248" customWidth="1"/>
    <col min="1797" max="1797" width="11.5703125" style="248" customWidth="1"/>
    <col min="1798" max="1798" width="14" style="248" customWidth="1"/>
    <col min="1799" max="1799" width="14.140625" style="248" customWidth="1"/>
    <col min="1800" max="1800" width="13.140625" style="248" customWidth="1"/>
    <col min="1801" max="1801" width="13" style="248" customWidth="1"/>
    <col min="1802" max="1802" width="14.140625" style="248" bestFit="1" customWidth="1"/>
    <col min="1803" max="1803" width="10.85546875" style="248" customWidth="1"/>
    <col min="1804" max="1804" width="11.140625" style="248" customWidth="1"/>
    <col min="1805" max="1805" width="12.5703125" style="248" customWidth="1"/>
    <col min="1806" max="1806" width="9.28515625" style="248" bestFit="1" customWidth="1"/>
    <col min="1807" max="2048" width="9.140625" style="248"/>
    <col min="2049" max="2049" width="46.5703125" style="248" bestFit="1" customWidth="1"/>
    <col min="2050" max="2050" width="10.42578125" style="248" customWidth="1"/>
    <col min="2051" max="2051" width="13.7109375" style="248" bestFit="1" customWidth="1"/>
    <col min="2052" max="2052" width="15" style="248" customWidth="1"/>
    <col min="2053" max="2053" width="11.5703125" style="248" customWidth="1"/>
    <col min="2054" max="2054" width="14" style="248" customWidth="1"/>
    <col min="2055" max="2055" width="14.140625" style="248" customWidth="1"/>
    <col min="2056" max="2056" width="13.140625" style="248" customWidth="1"/>
    <col min="2057" max="2057" width="13" style="248" customWidth="1"/>
    <col min="2058" max="2058" width="14.140625" style="248" bestFit="1" customWidth="1"/>
    <col min="2059" max="2059" width="10.85546875" style="248" customWidth="1"/>
    <col min="2060" max="2060" width="11.140625" style="248" customWidth="1"/>
    <col min="2061" max="2061" width="12.5703125" style="248" customWidth="1"/>
    <col min="2062" max="2062" width="9.28515625" style="248" bestFit="1" customWidth="1"/>
    <col min="2063" max="2304" width="9.140625" style="248"/>
    <col min="2305" max="2305" width="46.5703125" style="248" bestFit="1" customWidth="1"/>
    <col min="2306" max="2306" width="10.42578125" style="248" customWidth="1"/>
    <col min="2307" max="2307" width="13.7109375" style="248" bestFit="1" customWidth="1"/>
    <col min="2308" max="2308" width="15" style="248" customWidth="1"/>
    <col min="2309" max="2309" width="11.5703125" style="248" customWidth="1"/>
    <col min="2310" max="2310" width="14" style="248" customWidth="1"/>
    <col min="2311" max="2311" width="14.140625" style="248" customWidth="1"/>
    <col min="2312" max="2312" width="13.140625" style="248" customWidth="1"/>
    <col min="2313" max="2313" width="13" style="248" customWidth="1"/>
    <col min="2314" max="2314" width="14.140625" style="248" bestFit="1" customWidth="1"/>
    <col min="2315" max="2315" width="10.85546875" style="248" customWidth="1"/>
    <col min="2316" max="2316" width="11.140625" style="248" customWidth="1"/>
    <col min="2317" max="2317" width="12.5703125" style="248" customWidth="1"/>
    <col min="2318" max="2318" width="9.28515625" style="248" bestFit="1" customWidth="1"/>
    <col min="2319" max="2560" width="9.140625" style="248"/>
    <col min="2561" max="2561" width="46.5703125" style="248" bestFit="1" customWidth="1"/>
    <col min="2562" max="2562" width="10.42578125" style="248" customWidth="1"/>
    <col min="2563" max="2563" width="13.7109375" style="248" bestFit="1" customWidth="1"/>
    <col min="2564" max="2564" width="15" style="248" customWidth="1"/>
    <col min="2565" max="2565" width="11.5703125" style="248" customWidth="1"/>
    <col min="2566" max="2566" width="14" style="248" customWidth="1"/>
    <col min="2567" max="2567" width="14.140625" style="248" customWidth="1"/>
    <col min="2568" max="2568" width="13.140625" style="248" customWidth="1"/>
    <col min="2569" max="2569" width="13" style="248" customWidth="1"/>
    <col min="2570" max="2570" width="14.140625" style="248" bestFit="1" customWidth="1"/>
    <col min="2571" max="2571" width="10.85546875" style="248" customWidth="1"/>
    <col min="2572" max="2572" width="11.140625" style="248" customWidth="1"/>
    <col min="2573" max="2573" width="12.5703125" style="248" customWidth="1"/>
    <col min="2574" max="2574" width="9.28515625" style="248" bestFit="1" customWidth="1"/>
    <col min="2575" max="2816" width="9.140625" style="248"/>
    <col min="2817" max="2817" width="46.5703125" style="248" bestFit="1" customWidth="1"/>
    <col min="2818" max="2818" width="10.42578125" style="248" customWidth="1"/>
    <col min="2819" max="2819" width="13.7109375" style="248" bestFit="1" customWidth="1"/>
    <col min="2820" max="2820" width="15" style="248" customWidth="1"/>
    <col min="2821" max="2821" width="11.5703125" style="248" customWidth="1"/>
    <col min="2822" max="2822" width="14" style="248" customWidth="1"/>
    <col min="2823" max="2823" width="14.140625" style="248" customWidth="1"/>
    <col min="2824" max="2824" width="13.140625" style="248" customWidth="1"/>
    <col min="2825" max="2825" width="13" style="248" customWidth="1"/>
    <col min="2826" max="2826" width="14.140625" style="248" bestFit="1" customWidth="1"/>
    <col min="2827" max="2827" width="10.85546875" style="248" customWidth="1"/>
    <col min="2828" max="2828" width="11.140625" style="248" customWidth="1"/>
    <col min="2829" max="2829" width="12.5703125" style="248" customWidth="1"/>
    <col min="2830" max="2830" width="9.28515625" style="248" bestFit="1" customWidth="1"/>
    <col min="2831" max="3072" width="9.140625" style="248"/>
    <col min="3073" max="3073" width="46.5703125" style="248" bestFit="1" customWidth="1"/>
    <col min="3074" max="3074" width="10.42578125" style="248" customWidth="1"/>
    <col min="3075" max="3075" width="13.7109375" style="248" bestFit="1" customWidth="1"/>
    <col min="3076" max="3076" width="15" style="248" customWidth="1"/>
    <col min="3077" max="3077" width="11.5703125" style="248" customWidth="1"/>
    <col min="3078" max="3078" width="14" style="248" customWidth="1"/>
    <col min="3079" max="3079" width="14.140625" style="248" customWidth="1"/>
    <col min="3080" max="3080" width="13.140625" style="248" customWidth="1"/>
    <col min="3081" max="3081" width="13" style="248" customWidth="1"/>
    <col min="3082" max="3082" width="14.140625" style="248" bestFit="1" customWidth="1"/>
    <col min="3083" max="3083" width="10.85546875" style="248" customWidth="1"/>
    <col min="3084" max="3084" width="11.140625" style="248" customWidth="1"/>
    <col min="3085" max="3085" width="12.5703125" style="248" customWidth="1"/>
    <col min="3086" max="3086" width="9.28515625" style="248" bestFit="1" customWidth="1"/>
    <col min="3087" max="3328" width="9.140625" style="248"/>
    <col min="3329" max="3329" width="46.5703125" style="248" bestFit="1" customWidth="1"/>
    <col min="3330" max="3330" width="10.42578125" style="248" customWidth="1"/>
    <col min="3331" max="3331" width="13.7109375" style="248" bestFit="1" customWidth="1"/>
    <col min="3332" max="3332" width="15" style="248" customWidth="1"/>
    <col min="3333" max="3333" width="11.5703125" style="248" customWidth="1"/>
    <col min="3334" max="3334" width="14" style="248" customWidth="1"/>
    <col min="3335" max="3335" width="14.140625" style="248" customWidth="1"/>
    <col min="3336" max="3336" width="13.140625" style="248" customWidth="1"/>
    <col min="3337" max="3337" width="13" style="248" customWidth="1"/>
    <col min="3338" max="3338" width="14.140625" style="248" bestFit="1" customWidth="1"/>
    <col min="3339" max="3339" width="10.85546875" style="248" customWidth="1"/>
    <col min="3340" max="3340" width="11.140625" style="248" customWidth="1"/>
    <col min="3341" max="3341" width="12.5703125" style="248" customWidth="1"/>
    <col min="3342" max="3342" width="9.28515625" style="248" bestFit="1" customWidth="1"/>
    <col min="3343" max="3584" width="9.140625" style="248"/>
    <col min="3585" max="3585" width="46.5703125" style="248" bestFit="1" customWidth="1"/>
    <col min="3586" max="3586" width="10.42578125" style="248" customWidth="1"/>
    <col min="3587" max="3587" width="13.7109375" style="248" bestFit="1" customWidth="1"/>
    <col min="3588" max="3588" width="15" style="248" customWidth="1"/>
    <col min="3589" max="3589" width="11.5703125" style="248" customWidth="1"/>
    <col min="3590" max="3590" width="14" style="248" customWidth="1"/>
    <col min="3591" max="3591" width="14.140625" style="248" customWidth="1"/>
    <col min="3592" max="3592" width="13.140625" style="248" customWidth="1"/>
    <col min="3593" max="3593" width="13" style="248" customWidth="1"/>
    <col min="3594" max="3594" width="14.140625" style="248" bestFit="1" customWidth="1"/>
    <col min="3595" max="3595" width="10.85546875" style="248" customWidth="1"/>
    <col min="3596" max="3596" width="11.140625" style="248" customWidth="1"/>
    <col min="3597" max="3597" width="12.5703125" style="248" customWidth="1"/>
    <col min="3598" max="3598" width="9.28515625" style="248" bestFit="1" customWidth="1"/>
    <col min="3599" max="3840" width="9.140625" style="248"/>
    <col min="3841" max="3841" width="46.5703125" style="248" bestFit="1" customWidth="1"/>
    <col min="3842" max="3842" width="10.42578125" style="248" customWidth="1"/>
    <col min="3843" max="3843" width="13.7109375" style="248" bestFit="1" customWidth="1"/>
    <col min="3844" max="3844" width="15" style="248" customWidth="1"/>
    <col min="3845" max="3845" width="11.5703125" style="248" customWidth="1"/>
    <col min="3846" max="3846" width="14" style="248" customWidth="1"/>
    <col min="3847" max="3847" width="14.140625" style="248" customWidth="1"/>
    <col min="3848" max="3848" width="13.140625" style="248" customWidth="1"/>
    <col min="3849" max="3849" width="13" style="248" customWidth="1"/>
    <col min="3850" max="3850" width="14.140625" style="248" bestFit="1" customWidth="1"/>
    <col min="3851" max="3851" width="10.85546875" style="248" customWidth="1"/>
    <col min="3852" max="3852" width="11.140625" style="248" customWidth="1"/>
    <col min="3853" max="3853" width="12.5703125" style="248" customWidth="1"/>
    <col min="3854" max="3854" width="9.28515625" style="248" bestFit="1" customWidth="1"/>
    <col min="3855" max="4096" width="9.140625" style="248"/>
    <col min="4097" max="4097" width="46.5703125" style="248" bestFit="1" customWidth="1"/>
    <col min="4098" max="4098" width="10.42578125" style="248" customWidth="1"/>
    <col min="4099" max="4099" width="13.7109375" style="248" bestFit="1" customWidth="1"/>
    <col min="4100" max="4100" width="15" style="248" customWidth="1"/>
    <col min="4101" max="4101" width="11.5703125" style="248" customWidth="1"/>
    <col min="4102" max="4102" width="14" style="248" customWidth="1"/>
    <col min="4103" max="4103" width="14.140625" style="248" customWidth="1"/>
    <col min="4104" max="4104" width="13.140625" style="248" customWidth="1"/>
    <col min="4105" max="4105" width="13" style="248" customWidth="1"/>
    <col min="4106" max="4106" width="14.140625" style="248" bestFit="1" customWidth="1"/>
    <col min="4107" max="4107" width="10.85546875" style="248" customWidth="1"/>
    <col min="4108" max="4108" width="11.140625" style="248" customWidth="1"/>
    <col min="4109" max="4109" width="12.5703125" style="248" customWidth="1"/>
    <col min="4110" max="4110" width="9.28515625" style="248" bestFit="1" customWidth="1"/>
    <col min="4111" max="4352" width="9.140625" style="248"/>
    <col min="4353" max="4353" width="46.5703125" style="248" bestFit="1" customWidth="1"/>
    <col min="4354" max="4354" width="10.42578125" style="248" customWidth="1"/>
    <col min="4355" max="4355" width="13.7109375" style="248" bestFit="1" customWidth="1"/>
    <col min="4356" max="4356" width="15" style="248" customWidth="1"/>
    <col min="4357" max="4357" width="11.5703125" style="248" customWidth="1"/>
    <col min="4358" max="4358" width="14" style="248" customWidth="1"/>
    <col min="4359" max="4359" width="14.140625" style="248" customWidth="1"/>
    <col min="4360" max="4360" width="13.140625" style="248" customWidth="1"/>
    <col min="4361" max="4361" width="13" style="248" customWidth="1"/>
    <col min="4362" max="4362" width="14.140625" style="248" bestFit="1" customWidth="1"/>
    <col min="4363" max="4363" width="10.85546875" style="248" customWidth="1"/>
    <col min="4364" max="4364" width="11.140625" style="248" customWidth="1"/>
    <col min="4365" max="4365" width="12.5703125" style="248" customWidth="1"/>
    <col min="4366" max="4366" width="9.28515625" style="248" bestFit="1" customWidth="1"/>
    <col min="4367" max="4608" width="9.140625" style="248"/>
    <col min="4609" max="4609" width="46.5703125" style="248" bestFit="1" customWidth="1"/>
    <col min="4610" max="4610" width="10.42578125" style="248" customWidth="1"/>
    <col min="4611" max="4611" width="13.7109375" style="248" bestFit="1" customWidth="1"/>
    <col min="4612" max="4612" width="15" style="248" customWidth="1"/>
    <col min="4613" max="4613" width="11.5703125" style="248" customWidth="1"/>
    <col min="4614" max="4614" width="14" style="248" customWidth="1"/>
    <col min="4615" max="4615" width="14.140625" style="248" customWidth="1"/>
    <col min="4616" max="4616" width="13.140625" style="248" customWidth="1"/>
    <col min="4617" max="4617" width="13" style="248" customWidth="1"/>
    <col min="4618" max="4618" width="14.140625" style="248" bestFit="1" customWidth="1"/>
    <col min="4619" max="4619" width="10.85546875" style="248" customWidth="1"/>
    <col min="4620" max="4620" width="11.140625" style="248" customWidth="1"/>
    <col min="4621" max="4621" width="12.5703125" style="248" customWidth="1"/>
    <col min="4622" max="4622" width="9.28515625" style="248" bestFit="1" customWidth="1"/>
    <col min="4623" max="4864" width="9.140625" style="248"/>
    <col min="4865" max="4865" width="46.5703125" style="248" bestFit="1" customWidth="1"/>
    <col min="4866" max="4866" width="10.42578125" style="248" customWidth="1"/>
    <col min="4867" max="4867" width="13.7109375" style="248" bestFit="1" customWidth="1"/>
    <col min="4868" max="4868" width="15" style="248" customWidth="1"/>
    <col min="4869" max="4869" width="11.5703125" style="248" customWidth="1"/>
    <col min="4870" max="4870" width="14" style="248" customWidth="1"/>
    <col min="4871" max="4871" width="14.140625" style="248" customWidth="1"/>
    <col min="4872" max="4872" width="13.140625" style="248" customWidth="1"/>
    <col min="4873" max="4873" width="13" style="248" customWidth="1"/>
    <col min="4874" max="4874" width="14.140625" style="248" bestFit="1" customWidth="1"/>
    <col min="4875" max="4875" width="10.85546875" style="248" customWidth="1"/>
    <col min="4876" max="4876" width="11.140625" style="248" customWidth="1"/>
    <col min="4877" max="4877" width="12.5703125" style="248" customWidth="1"/>
    <col min="4878" max="4878" width="9.28515625" style="248" bestFit="1" customWidth="1"/>
    <col min="4879" max="5120" width="9.140625" style="248"/>
    <col min="5121" max="5121" width="46.5703125" style="248" bestFit="1" customWidth="1"/>
    <col min="5122" max="5122" width="10.42578125" style="248" customWidth="1"/>
    <col min="5123" max="5123" width="13.7109375" style="248" bestFit="1" customWidth="1"/>
    <col min="5124" max="5124" width="15" style="248" customWidth="1"/>
    <col min="5125" max="5125" width="11.5703125" style="248" customWidth="1"/>
    <col min="5126" max="5126" width="14" style="248" customWidth="1"/>
    <col min="5127" max="5127" width="14.140625" style="248" customWidth="1"/>
    <col min="5128" max="5128" width="13.140625" style="248" customWidth="1"/>
    <col min="5129" max="5129" width="13" style="248" customWidth="1"/>
    <col min="5130" max="5130" width="14.140625" style="248" bestFit="1" customWidth="1"/>
    <col min="5131" max="5131" width="10.85546875" style="248" customWidth="1"/>
    <col min="5132" max="5132" width="11.140625" style="248" customWidth="1"/>
    <col min="5133" max="5133" width="12.5703125" style="248" customWidth="1"/>
    <col min="5134" max="5134" width="9.28515625" style="248" bestFit="1" customWidth="1"/>
    <col min="5135" max="5376" width="9.140625" style="248"/>
    <col min="5377" max="5377" width="46.5703125" style="248" bestFit="1" customWidth="1"/>
    <col min="5378" max="5378" width="10.42578125" style="248" customWidth="1"/>
    <col min="5379" max="5379" width="13.7109375" style="248" bestFit="1" customWidth="1"/>
    <col min="5380" max="5380" width="15" style="248" customWidth="1"/>
    <col min="5381" max="5381" width="11.5703125" style="248" customWidth="1"/>
    <col min="5382" max="5382" width="14" style="248" customWidth="1"/>
    <col min="5383" max="5383" width="14.140625" style="248" customWidth="1"/>
    <col min="5384" max="5384" width="13.140625" style="248" customWidth="1"/>
    <col min="5385" max="5385" width="13" style="248" customWidth="1"/>
    <col min="5386" max="5386" width="14.140625" style="248" bestFit="1" customWidth="1"/>
    <col min="5387" max="5387" width="10.85546875" style="248" customWidth="1"/>
    <col min="5388" max="5388" width="11.140625" style="248" customWidth="1"/>
    <col min="5389" max="5389" width="12.5703125" style="248" customWidth="1"/>
    <col min="5390" max="5390" width="9.28515625" style="248" bestFit="1" customWidth="1"/>
    <col min="5391" max="5632" width="9.140625" style="248"/>
    <col min="5633" max="5633" width="46.5703125" style="248" bestFit="1" customWidth="1"/>
    <col min="5634" max="5634" width="10.42578125" style="248" customWidth="1"/>
    <col min="5635" max="5635" width="13.7109375" style="248" bestFit="1" customWidth="1"/>
    <col min="5636" max="5636" width="15" style="248" customWidth="1"/>
    <col min="5637" max="5637" width="11.5703125" style="248" customWidth="1"/>
    <col min="5638" max="5638" width="14" style="248" customWidth="1"/>
    <col min="5639" max="5639" width="14.140625" style="248" customWidth="1"/>
    <col min="5640" max="5640" width="13.140625" style="248" customWidth="1"/>
    <col min="5641" max="5641" width="13" style="248" customWidth="1"/>
    <col min="5642" max="5642" width="14.140625" style="248" bestFit="1" customWidth="1"/>
    <col min="5643" max="5643" width="10.85546875" style="248" customWidth="1"/>
    <col min="5644" max="5644" width="11.140625" style="248" customWidth="1"/>
    <col min="5645" max="5645" width="12.5703125" style="248" customWidth="1"/>
    <col min="5646" max="5646" width="9.28515625" style="248" bestFit="1" customWidth="1"/>
    <col min="5647" max="5888" width="9.140625" style="248"/>
    <col min="5889" max="5889" width="46.5703125" style="248" bestFit="1" customWidth="1"/>
    <col min="5890" max="5890" width="10.42578125" style="248" customWidth="1"/>
    <col min="5891" max="5891" width="13.7109375" style="248" bestFit="1" customWidth="1"/>
    <col min="5892" max="5892" width="15" style="248" customWidth="1"/>
    <col min="5893" max="5893" width="11.5703125" style="248" customWidth="1"/>
    <col min="5894" max="5894" width="14" style="248" customWidth="1"/>
    <col min="5895" max="5895" width="14.140625" style="248" customWidth="1"/>
    <col min="5896" max="5896" width="13.140625" style="248" customWidth="1"/>
    <col min="5897" max="5897" width="13" style="248" customWidth="1"/>
    <col min="5898" max="5898" width="14.140625" style="248" bestFit="1" customWidth="1"/>
    <col min="5899" max="5899" width="10.85546875" style="248" customWidth="1"/>
    <col min="5900" max="5900" width="11.140625" style="248" customWidth="1"/>
    <col min="5901" max="5901" width="12.5703125" style="248" customWidth="1"/>
    <col min="5902" max="5902" width="9.28515625" style="248" bestFit="1" customWidth="1"/>
    <col min="5903" max="6144" width="9.140625" style="248"/>
    <col min="6145" max="6145" width="46.5703125" style="248" bestFit="1" customWidth="1"/>
    <col min="6146" max="6146" width="10.42578125" style="248" customWidth="1"/>
    <col min="6147" max="6147" width="13.7109375" style="248" bestFit="1" customWidth="1"/>
    <col min="6148" max="6148" width="15" style="248" customWidth="1"/>
    <col min="6149" max="6149" width="11.5703125" style="248" customWidth="1"/>
    <col min="6150" max="6150" width="14" style="248" customWidth="1"/>
    <col min="6151" max="6151" width="14.140625" style="248" customWidth="1"/>
    <col min="6152" max="6152" width="13.140625" style="248" customWidth="1"/>
    <col min="6153" max="6153" width="13" style="248" customWidth="1"/>
    <col min="6154" max="6154" width="14.140625" style="248" bestFit="1" customWidth="1"/>
    <col min="6155" max="6155" width="10.85546875" style="248" customWidth="1"/>
    <col min="6156" max="6156" width="11.140625" style="248" customWidth="1"/>
    <col min="6157" max="6157" width="12.5703125" style="248" customWidth="1"/>
    <col min="6158" max="6158" width="9.28515625" style="248" bestFit="1" customWidth="1"/>
    <col min="6159" max="6400" width="9.140625" style="248"/>
    <col min="6401" max="6401" width="46.5703125" style="248" bestFit="1" customWidth="1"/>
    <col min="6402" max="6402" width="10.42578125" style="248" customWidth="1"/>
    <col min="6403" max="6403" width="13.7109375" style="248" bestFit="1" customWidth="1"/>
    <col min="6404" max="6404" width="15" style="248" customWidth="1"/>
    <col min="6405" max="6405" width="11.5703125" style="248" customWidth="1"/>
    <col min="6406" max="6406" width="14" style="248" customWidth="1"/>
    <col min="6407" max="6407" width="14.140625" style="248" customWidth="1"/>
    <col min="6408" max="6408" width="13.140625" style="248" customWidth="1"/>
    <col min="6409" max="6409" width="13" style="248" customWidth="1"/>
    <col min="6410" max="6410" width="14.140625" style="248" bestFit="1" customWidth="1"/>
    <col min="6411" max="6411" width="10.85546875" style="248" customWidth="1"/>
    <col min="6412" max="6412" width="11.140625" style="248" customWidth="1"/>
    <col min="6413" max="6413" width="12.5703125" style="248" customWidth="1"/>
    <col min="6414" max="6414" width="9.28515625" style="248" bestFit="1" customWidth="1"/>
    <col min="6415" max="6656" width="9.140625" style="248"/>
    <col min="6657" max="6657" width="46.5703125" style="248" bestFit="1" customWidth="1"/>
    <col min="6658" max="6658" width="10.42578125" style="248" customWidth="1"/>
    <col min="6659" max="6659" width="13.7109375" style="248" bestFit="1" customWidth="1"/>
    <col min="6660" max="6660" width="15" style="248" customWidth="1"/>
    <col min="6661" max="6661" width="11.5703125" style="248" customWidth="1"/>
    <col min="6662" max="6662" width="14" style="248" customWidth="1"/>
    <col min="6663" max="6663" width="14.140625" style="248" customWidth="1"/>
    <col min="6664" max="6664" width="13.140625" style="248" customWidth="1"/>
    <col min="6665" max="6665" width="13" style="248" customWidth="1"/>
    <col min="6666" max="6666" width="14.140625" style="248" bestFit="1" customWidth="1"/>
    <col min="6667" max="6667" width="10.85546875" style="248" customWidth="1"/>
    <col min="6668" max="6668" width="11.140625" style="248" customWidth="1"/>
    <col min="6669" max="6669" width="12.5703125" style="248" customWidth="1"/>
    <col min="6670" max="6670" width="9.28515625" style="248" bestFit="1" customWidth="1"/>
    <col min="6671" max="6912" width="9.140625" style="248"/>
    <col min="6913" max="6913" width="46.5703125" style="248" bestFit="1" customWidth="1"/>
    <col min="6914" max="6914" width="10.42578125" style="248" customWidth="1"/>
    <col min="6915" max="6915" width="13.7109375" style="248" bestFit="1" customWidth="1"/>
    <col min="6916" max="6916" width="15" style="248" customWidth="1"/>
    <col min="6917" max="6917" width="11.5703125" style="248" customWidth="1"/>
    <col min="6918" max="6918" width="14" style="248" customWidth="1"/>
    <col min="6919" max="6919" width="14.140625" style="248" customWidth="1"/>
    <col min="6920" max="6920" width="13.140625" style="248" customWidth="1"/>
    <col min="6921" max="6921" width="13" style="248" customWidth="1"/>
    <col min="6922" max="6922" width="14.140625" style="248" bestFit="1" customWidth="1"/>
    <col min="6923" max="6923" width="10.85546875" style="248" customWidth="1"/>
    <col min="6924" max="6924" width="11.140625" style="248" customWidth="1"/>
    <col min="6925" max="6925" width="12.5703125" style="248" customWidth="1"/>
    <col min="6926" max="6926" width="9.28515625" style="248" bestFit="1" customWidth="1"/>
    <col min="6927" max="7168" width="9.140625" style="248"/>
    <col min="7169" max="7169" width="46.5703125" style="248" bestFit="1" customWidth="1"/>
    <col min="7170" max="7170" width="10.42578125" style="248" customWidth="1"/>
    <col min="7171" max="7171" width="13.7109375" style="248" bestFit="1" customWidth="1"/>
    <col min="7172" max="7172" width="15" style="248" customWidth="1"/>
    <col min="7173" max="7173" width="11.5703125" style="248" customWidth="1"/>
    <col min="7174" max="7174" width="14" style="248" customWidth="1"/>
    <col min="7175" max="7175" width="14.140625" style="248" customWidth="1"/>
    <col min="7176" max="7176" width="13.140625" style="248" customWidth="1"/>
    <col min="7177" max="7177" width="13" style="248" customWidth="1"/>
    <col min="7178" max="7178" width="14.140625" style="248" bestFit="1" customWidth="1"/>
    <col min="7179" max="7179" width="10.85546875" style="248" customWidth="1"/>
    <col min="7180" max="7180" width="11.140625" style="248" customWidth="1"/>
    <col min="7181" max="7181" width="12.5703125" style="248" customWidth="1"/>
    <col min="7182" max="7182" width="9.28515625" style="248" bestFit="1" customWidth="1"/>
    <col min="7183" max="7424" width="9.140625" style="248"/>
    <col min="7425" max="7425" width="46.5703125" style="248" bestFit="1" customWidth="1"/>
    <col min="7426" max="7426" width="10.42578125" style="248" customWidth="1"/>
    <col min="7427" max="7427" width="13.7109375" style="248" bestFit="1" customWidth="1"/>
    <col min="7428" max="7428" width="15" style="248" customWidth="1"/>
    <col min="7429" max="7429" width="11.5703125" style="248" customWidth="1"/>
    <col min="7430" max="7430" width="14" style="248" customWidth="1"/>
    <col min="7431" max="7431" width="14.140625" style="248" customWidth="1"/>
    <col min="7432" max="7432" width="13.140625" style="248" customWidth="1"/>
    <col min="7433" max="7433" width="13" style="248" customWidth="1"/>
    <col min="7434" max="7434" width="14.140625" style="248" bestFit="1" customWidth="1"/>
    <col min="7435" max="7435" width="10.85546875" style="248" customWidth="1"/>
    <col min="7436" max="7436" width="11.140625" style="248" customWidth="1"/>
    <col min="7437" max="7437" width="12.5703125" style="248" customWidth="1"/>
    <col min="7438" max="7438" width="9.28515625" style="248" bestFit="1" customWidth="1"/>
    <col min="7439" max="7680" width="9.140625" style="248"/>
    <col min="7681" max="7681" width="46.5703125" style="248" bestFit="1" customWidth="1"/>
    <col min="7682" max="7682" width="10.42578125" style="248" customWidth="1"/>
    <col min="7683" max="7683" width="13.7109375" style="248" bestFit="1" customWidth="1"/>
    <col min="7684" max="7684" width="15" style="248" customWidth="1"/>
    <col min="7685" max="7685" width="11.5703125" style="248" customWidth="1"/>
    <col min="7686" max="7686" width="14" style="248" customWidth="1"/>
    <col min="7687" max="7687" width="14.140625" style="248" customWidth="1"/>
    <col min="7688" max="7688" width="13.140625" style="248" customWidth="1"/>
    <col min="7689" max="7689" width="13" style="248" customWidth="1"/>
    <col min="7690" max="7690" width="14.140625" style="248" bestFit="1" customWidth="1"/>
    <col min="7691" max="7691" width="10.85546875" style="248" customWidth="1"/>
    <col min="7692" max="7692" width="11.140625" style="248" customWidth="1"/>
    <col min="7693" max="7693" width="12.5703125" style="248" customWidth="1"/>
    <col min="7694" max="7694" width="9.28515625" style="248" bestFit="1" customWidth="1"/>
    <col min="7695" max="7936" width="9.140625" style="248"/>
    <col min="7937" max="7937" width="46.5703125" style="248" bestFit="1" customWidth="1"/>
    <col min="7938" max="7938" width="10.42578125" style="248" customWidth="1"/>
    <col min="7939" max="7939" width="13.7109375" style="248" bestFit="1" customWidth="1"/>
    <col min="7940" max="7940" width="15" style="248" customWidth="1"/>
    <col min="7941" max="7941" width="11.5703125" style="248" customWidth="1"/>
    <col min="7942" max="7942" width="14" style="248" customWidth="1"/>
    <col min="7943" max="7943" width="14.140625" style="248" customWidth="1"/>
    <col min="7944" max="7944" width="13.140625" style="248" customWidth="1"/>
    <col min="7945" max="7945" width="13" style="248" customWidth="1"/>
    <col min="7946" max="7946" width="14.140625" style="248" bestFit="1" customWidth="1"/>
    <col min="7947" max="7947" width="10.85546875" style="248" customWidth="1"/>
    <col min="7948" max="7948" width="11.140625" style="248" customWidth="1"/>
    <col min="7949" max="7949" width="12.5703125" style="248" customWidth="1"/>
    <col min="7950" max="7950" width="9.28515625" style="248" bestFit="1" customWidth="1"/>
    <col min="7951" max="8192" width="9.140625" style="248"/>
    <col min="8193" max="8193" width="46.5703125" style="248" bestFit="1" customWidth="1"/>
    <col min="8194" max="8194" width="10.42578125" style="248" customWidth="1"/>
    <col min="8195" max="8195" width="13.7109375" style="248" bestFit="1" customWidth="1"/>
    <col min="8196" max="8196" width="15" style="248" customWidth="1"/>
    <col min="8197" max="8197" width="11.5703125" style="248" customWidth="1"/>
    <col min="8198" max="8198" width="14" style="248" customWidth="1"/>
    <col min="8199" max="8199" width="14.140625" style="248" customWidth="1"/>
    <col min="8200" max="8200" width="13.140625" style="248" customWidth="1"/>
    <col min="8201" max="8201" width="13" style="248" customWidth="1"/>
    <col min="8202" max="8202" width="14.140625" style="248" bestFit="1" customWidth="1"/>
    <col min="8203" max="8203" width="10.85546875" style="248" customWidth="1"/>
    <col min="8204" max="8204" width="11.140625" style="248" customWidth="1"/>
    <col min="8205" max="8205" width="12.5703125" style="248" customWidth="1"/>
    <col min="8206" max="8206" width="9.28515625" style="248" bestFit="1" customWidth="1"/>
    <col min="8207" max="8448" width="9.140625" style="248"/>
    <col min="8449" max="8449" width="46.5703125" style="248" bestFit="1" customWidth="1"/>
    <col min="8450" max="8450" width="10.42578125" style="248" customWidth="1"/>
    <col min="8451" max="8451" width="13.7109375" style="248" bestFit="1" customWidth="1"/>
    <col min="8452" max="8452" width="15" style="248" customWidth="1"/>
    <col min="8453" max="8453" width="11.5703125" style="248" customWidth="1"/>
    <col min="8454" max="8454" width="14" style="248" customWidth="1"/>
    <col min="8455" max="8455" width="14.140625" style="248" customWidth="1"/>
    <col min="8456" max="8456" width="13.140625" style="248" customWidth="1"/>
    <col min="8457" max="8457" width="13" style="248" customWidth="1"/>
    <col min="8458" max="8458" width="14.140625" style="248" bestFit="1" customWidth="1"/>
    <col min="8459" max="8459" width="10.85546875" style="248" customWidth="1"/>
    <col min="8460" max="8460" width="11.140625" style="248" customWidth="1"/>
    <col min="8461" max="8461" width="12.5703125" style="248" customWidth="1"/>
    <col min="8462" max="8462" width="9.28515625" style="248" bestFit="1" customWidth="1"/>
    <col min="8463" max="8704" width="9.140625" style="248"/>
    <col min="8705" max="8705" width="46.5703125" style="248" bestFit="1" customWidth="1"/>
    <col min="8706" max="8706" width="10.42578125" style="248" customWidth="1"/>
    <col min="8707" max="8707" width="13.7109375" style="248" bestFit="1" customWidth="1"/>
    <col min="8708" max="8708" width="15" style="248" customWidth="1"/>
    <col min="8709" max="8709" width="11.5703125" style="248" customWidth="1"/>
    <col min="8710" max="8710" width="14" style="248" customWidth="1"/>
    <col min="8711" max="8711" width="14.140625" style="248" customWidth="1"/>
    <col min="8712" max="8712" width="13.140625" style="248" customWidth="1"/>
    <col min="8713" max="8713" width="13" style="248" customWidth="1"/>
    <col min="8714" max="8714" width="14.140625" style="248" bestFit="1" customWidth="1"/>
    <col min="8715" max="8715" width="10.85546875" style="248" customWidth="1"/>
    <col min="8716" max="8716" width="11.140625" style="248" customWidth="1"/>
    <col min="8717" max="8717" width="12.5703125" style="248" customWidth="1"/>
    <col min="8718" max="8718" width="9.28515625" style="248" bestFit="1" customWidth="1"/>
    <col min="8719" max="8960" width="9.140625" style="248"/>
    <col min="8961" max="8961" width="46.5703125" style="248" bestFit="1" customWidth="1"/>
    <col min="8962" max="8962" width="10.42578125" style="248" customWidth="1"/>
    <col min="8963" max="8963" width="13.7109375" style="248" bestFit="1" customWidth="1"/>
    <col min="8964" max="8964" width="15" style="248" customWidth="1"/>
    <col min="8965" max="8965" width="11.5703125" style="248" customWidth="1"/>
    <col min="8966" max="8966" width="14" style="248" customWidth="1"/>
    <col min="8967" max="8967" width="14.140625" style="248" customWidth="1"/>
    <col min="8968" max="8968" width="13.140625" style="248" customWidth="1"/>
    <col min="8969" max="8969" width="13" style="248" customWidth="1"/>
    <col min="8970" max="8970" width="14.140625" style="248" bestFit="1" customWidth="1"/>
    <col min="8971" max="8971" width="10.85546875" style="248" customWidth="1"/>
    <col min="8972" max="8972" width="11.140625" style="248" customWidth="1"/>
    <col min="8973" max="8973" width="12.5703125" style="248" customWidth="1"/>
    <col min="8974" max="8974" width="9.28515625" style="248" bestFit="1" customWidth="1"/>
    <col min="8975" max="9216" width="9.140625" style="248"/>
    <col min="9217" max="9217" width="46.5703125" style="248" bestFit="1" customWidth="1"/>
    <col min="9218" max="9218" width="10.42578125" style="248" customWidth="1"/>
    <col min="9219" max="9219" width="13.7109375" style="248" bestFit="1" customWidth="1"/>
    <col min="9220" max="9220" width="15" style="248" customWidth="1"/>
    <col min="9221" max="9221" width="11.5703125" style="248" customWidth="1"/>
    <col min="9222" max="9222" width="14" style="248" customWidth="1"/>
    <col min="9223" max="9223" width="14.140625" style="248" customWidth="1"/>
    <col min="9224" max="9224" width="13.140625" style="248" customWidth="1"/>
    <col min="9225" max="9225" width="13" style="248" customWidth="1"/>
    <col min="9226" max="9226" width="14.140625" style="248" bestFit="1" customWidth="1"/>
    <col min="9227" max="9227" width="10.85546875" style="248" customWidth="1"/>
    <col min="9228" max="9228" width="11.140625" style="248" customWidth="1"/>
    <col min="9229" max="9229" width="12.5703125" style="248" customWidth="1"/>
    <col min="9230" max="9230" width="9.28515625" style="248" bestFit="1" customWidth="1"/>
    <col min="9231" max="9472" width="9.140625" style="248"/>
    <col min="9473" max="9473" width="46.5703125" style="248" bestFit="1" customWidth="1"/>
    <col min="9474" max="9474" width="10.42578125" style="248" customWidth="1"/>
    <col min="9475" max="9475" width="13.7109375" style="248" bestFit="1" customWidth="1"/>
    <col min="9476" max="9476" width="15" style="248" customWidth="1"/>
    <col min="9477" max="9477" width="11.5703125" style="248" customWidth="1"/>
    <col min="9478" max="9478" width="14" style="248" customWidth="1"/>
    <col min="9479" max="9479" width="14.140625" style="248" customWidth="1"/>
    <col min="9480" max="9480" width="13.140625" style="248" customWidth="1"/>
    <col min="9481" max="9481" width="13" style="248" customWidth="1"/>
    <col min="9482" max="9482" width="14.140625" style="248" bestFit="1" customWidth="1"/>
    <col min="9483" max="9483" width="10.85546875" style="248" customWidth="1"/>
    <col min="9484" max="9484" width="11.140625" style="248" customWidth="1"/>
    <col min="9485" max="9485" width="12.5703125" style="248" customWidth="1"/>
    <col min="9486" max="9486" width="9.28515625" style="248" bestFit="1" customWidth="1"/>
    <col min="9487" max="9728" width="9.140625" style="248"/>
    <col min="9729" max="9729" width="46.5703125" style="248" bestFit="1" customWidth="1"/>
    <col min="9730" max="9730" width="10.42578125" style="248" customWidth="1"/>
    <col min="9731" max="9731" width="13.7109375" style="248" bestFit="1" customWidth="1"/>
    <col min="9732" max="9732" width="15" style="248" customWidth="1"/>
    <col min="9733" max="9733" width="11.5703125" style="248" customWidth="1"/>
    <col min="9734" max="9734" width="14" style="248" customWidth="1"/>
    <col min="9735" max="9735" width="14.140625" style="248" customWidth="1"/>
    <col min="9736" max="9736" width="13.140625" style="248" customWidth="1"/>
    <col min="9737" max="9737" width="13" style="248" customWidth="1"/>
    <col min="9738" max="9738" width="14.140625" style="248" bestFit="1" customWidth="1"/>
    <col min="9739" max="9739" width="10.85546875" style="248" customWidth="1"/>
    <col min="9740" max="9740" width="11.140625" style="248" customWidth="1"/>
    <col min="9741" max="9741" width="12.5703125" style="248" customWidth="1"/>
    <col min="9742" max="9742" width="9.28515625" style="248" bestFit="1" customWidth="1"/>
    <col min="9743" max="9984" width="9.140625" style="248"/>
    <col min="9985" max="9985" width="46.5703125" style="248" bestFit="1" customWidth="1"/>
    <col min="9986" max="9986" width="10.42578125" style="248" customWidth="1"/>
    <col min="9987" max="9987" width="13.7109375" style="248" bestFit="1" customWidth="1"/>
    <col min="9988" max="9988" width="15" style="248" customWidth="1"/>
    <col min="9989" max="9989" width="11.5703125" style="248" customWidth="1"/>
    <col min="9990" max="9990" width="14" style="248" customWidth="1"/>
    <col min="9991" max="9991" width="14.140625" style="248" customWidth="1"/>
    <col min="9992" max="9992" width="13.140625" style="248" customWidth="1"/>
    <col min="9993" max="9993" width="13" style="248" customWidth="1"/>
    <col min="9994" max="9994" width="14.140625" style="248" bestFit="1" customWidth="1"/>
    <col min="9995" max="9995" width="10.85546875" style="248" customWidth="1"/>
    <col min="9996" max="9996" width="11.140625" style="248" customWidth="1"/>
    <col min="9997" max="9997" width="12.5703125" style="248" customWidth="1"/>
    <col min="9998" max="9998" width="9.28515625" style="248" bestFit="1" customWidth="1"/>
    <col min="9999" max="10240" width="9.140625" style="248"/>
    <col min="10241" max="10241" width="46.5703125" style="248" bestFit="1" customWidth="1"/>
    <col min="10242" max="10242" width="10.42578125" style="248" customWidth="1"/>
    <col min="10243" max="10243" width="13.7109375" style="248" bestFit="1" customWidth="1"/>
    <col min="10244" max="10244" width="15" style="248" customWidth="1"/>
    <col min="10245" max="10245" width="11.5703125" style="248" customWidth="1"/>
    <col min="10246" max="10246" width="14" style="248" customWidth="1"/>
    <col min="10247" max="10247" width="14.140625" style="248" customWidth="1"/>
    <col min="10248" max="10248" width="13.140625" style="248" customWidth="1"/>
    <col min="10249" max="10249" width="13" style="248" customWidth="1"/>
    <col min="10250" max="10250" width="14.140625" style="248" bestFit="1" customWidth="1"/>
    <col min="10251" max="10251" width="10.85546875" style="248" customWidth="1"/>
    <col min="10252" max="10252" width="11.140625" style="248" customWidth="1"/>
    <col min="10253" max="10253" width="12.5703125" style="248" customWidth="1"/>
    <col min="10254" max="10254" width="9.28515625" style="248" bestFit="1" customWidth="1"/>
    <col min="10255" max="10496" width="9.140625" style="248"/>
    <col min="10497" max="10497" width="46.5703125" style="248" bestFit="1" customWidth="1"/>
    <col min="10498" max="10498" width="10.42578125" style="248" customWidth="1"/>
    <col min="10499" max="10499" width="13.7109375" style="248" bestFit="1" customWidth="1"/>
    <col min="10500" max="10500" width="15" style="248" customWidth="1"/>
    <col min="10501" max="10501" width="11.5703125" style="248" customWidth="1"/>
    <col min="10502" max="10502" width="14" style="248" customWidth="1"/>
    <col min="10503" max="10503" width="14.140625" style="248" customWidth="1"/>
    <col min="10504" max="10504" width="13.140625" style="248" customWidth="1"/>
    <col min="10505" max="10505" width="13" style="248" customWidth="1"/>
    <col min="10506" max="10506" width="14.140625" style="248" bestFit="1" customWidth="1"/>
    <col min="10507" max="10507" width="10.85546875" style="248" customWidth="1"/>
    <col min="10508" max="10508" width="11.140625" style="248" customWidth="1"/>
    <col min="10509" max="10509" width="12.5703125" style="248" customWidth="1"/>
    <col min="10510" max="10510" width="9.28515625" style="248" bestFit="1" customWidth="1"/>
    <col min="10511" max="10752" width="9.140625" style="248"/>
    <col min="10753" max="10753" width="46.5703125" style="248" bestFit="1" customWidth="1"/>
    <col min="10754" max="10754" width="10.42578125" style="248" customWidth="1"/>
    <col min="10755" max="10755" width="13.7109375" style="248" bestFit="1" customWidth="1"/>
    <col min="10756" max="10756" width="15" style="248" customWidth="1"/>
    <col min="10757" max="10757" width="11.5703125" style="248" customWidth="1"/>
    <col min="10758" max="10758" width="14" style="248" customWidth="1"/>
    <col min="10759" max="10759" width="14.140625" style="248" customWidth="1"/>
    <col min="10760" max="10760" width="13.140625" style="248" customWidth="1"/>
    <col min="10761" max="10761" width="13" style="248" customWidth="1"/>
    <col min="10762" max="10762" width="14.140625" style="248" bestFit="1" customWidth="1"/>
    <col min="10763" max="10763" width="10.85546875" style="248" customWidth="1"/>
    <col min="10764" max="10764" width="11.140625" style="248" customWidth="1"/>
    <col min="10765" max="10765" width="12.5703125" style="248" customWidth="1"/>
    <col min="10766" max="10766" width="9.28515625" style="248" bestFit="1" customWidth="1"/>
    <col min="10767" max="11008" width="9.140625" style="248"/>
    <col min="11009" max="11009" width="46.5703125" style="248" bestFit="1" customWidth="1"/>
    <col min="11010" max="11010" width="10.42578125" style="248" customWidth="1"/>
    <col min="11011" max="11011" width="13.7109375" style="248" bestFit="1" customWidth="1"/>
    <col min="11012" max="11012" width="15" style="248" customWidth="1"/>
    <col min="11013" max="11013" width="11.5703125" style="248" customWidth="1"/>
    <col min="11014" max="11014" width="14" style="248" customWidth="1"/>
    <col min="11015" max="11015" width="14.140625" style="248" customWidth="1"/>
    <col min="11016" max="11016" width="13.140625" style="248" customWidth="1"/>
    <col min="11017" max="11017" width="13" style="248" customWidth="1"/>
    <col min="11018" max="11018" width="14.140625" style="248" bestFit="1" customWidth="1"/>
    <col min="11019" max="11019" width="10.85546875" style="248" customWidth="1"/>
    <col min="11020" max="11020" width="11.140625" style="248" customWidth="1"/>
    <col min="11021" max="11021" width="12.5703125" style="248" customWidth="1"/>
    <col min="11022" max="11022" width="9.28515625" style="248" bestFit="1" customWidth="1"/>
    <col min="11023" max="11264" width="9.140625" style="248"/>
    <col min="11265" max="11265" width="46.5703125" style="248" bestFit="1" customWidth="1"/>
    <col min="11266" max="11266" width="10.42578125" style="248" customWidth="1"/>
    <col min="11267" max="11267" width="13.7109375" style="248" bestFit="1" customWidth="1"/>
    <col min="11268" max="11268" width="15" style="248" customWidth="1"/>
    <col min="11269" max="11269" width="11.5703125" style="248" customWidth="1"/>
    <col min="11270" max="11270" width="14" style="248" customWidth="1"/>
    <col min="11271" max="11271" width="14.140625" style="248" customWidth="1"/>
    <col min="11272" max="11272" width="13.140625" style="248" customWidth="1"/>
    <col min="11273" max="11273" width="13" style="248" customWidth="1"/>
    <col min="11274" max="11274" width="14.140625" style="248" bestFit="1" customWidth="1"/>
    <col min="11275" max="11275" width="10.85546875" style="248" customWidth="1"/>
    <col min="11276" max="11276" width="11.140625" style="248" customWidth="1"/>
    <col min="11277" max="11277" width="12.5703125" style="248" customWidth="1"/>
    <col min="11278" max="11278" width="9.28515625" style="248" bestFit="1" customWidth="1"/>
    <col min="11279" max="11520" width="9.140625" style="248"/>
    <col min="11521" max="11521" width="46.5703125" style="248" bestFit="1" customWidth="1"/>
    <col min="11522" max="11522" width="10.42578125" style="248" customWidth="1"/>
    <col min="11523" max="11523" width="13.7109375" style="248" bestFit="1" customWidth="1"/>
    <col min="11524" max="11524" width="15" style="248" customWidth="1"/>
    <col min="11525" max="11525" width="11.5703125" style="248" customWidth="1"/>
    <col min="11526" max="11526" width="14" style="248" customWidth="1"/>
    <col min="11527" max="11527" width="14.140625" style="248" customWidth="1"/>
    <col min="11528" max="11528" width="13.140625" style="248" customWidth="1"/>
    <col min="11529" max="11529" width="13" style="248" customWidth="1"/>
    <col min="11530" max="11530" width="14.140625" style="248" bestFit="1" customWidth="1"/>
    <col min="11531" max="11531" width="10.85546875" style="248" customWidth="1"/>
    <col min="11532" max="11532" width="11.140625" style="248" customWidth="1"/>
    <col min="11533" max="11533" width="12.5703125" style="248" customWidth="1"/>
    <col min="11534" max="11534" width="9.28515625" style="248" bestFit="1" customWidth="1"/>
    <col min="11535" max="11776" width="9.140625" style="248"/>
    <col min="11777" max="11777" width="46.5703125" style="248" bestFit="1" customWidth="1"/>
    <col min="11778" max="11778" width="10.42578125" style="248" customWidth="1"/>
    <col min="11779" max="11779" width="13.7109375" style="248" bestFit="1" customWidth="1"/>
    <col min="11780" max="11780" width="15" style="248" customWidth="1"/>
    <col min="11781" max="11781" width="11.5703125" style="248" customWidth="1"/>
    <col min="11782" max="11782" width="14" style="248" customWidth="1"/>
    <col min="11783" max="11783" width="14.140625" style="248" customWidth="1"/>
    <col min="11784" max="11784" width="13.140625" style="248" customWidth="1"/>
    <col min="11785" max="11785" width="13" style="248" customWidth="1"/>
    <col min="11786" max="11786" width="14.140625" style="248" bestFit="1" customWidth="1"/>
    <col min="11787" max="11787" width="10.85546875" style="248" customWidth="1"/>
    <col min="11788" max="11788" width="11.140625" style="248" customWidth="1"/>
    <col min="11789" max="11789" width="12.5703125" style="248" customWidth="1"/>
    <col min="11790" max="11790" width="9.28515625" style="248" bestFit="1" customWidth="1"/>
    <col min="11791" max="12032" width="9.140625" style="248"/>
    <col min="12033" max="12033" width="46.5703125" style="248" bestFit="1" customWidth="1"/>
    <col min="12034" max="12034" width="10.42578125" style="248" customWidth="1"/>
    <col min="12035" max="12035" width="13.7109375" style="248" bestFit="1" customWidth="1"/>
    <col min="12036" max="12036" width="15" style="248" customWidth="1"/>
    <col min="12037" max="12037" width="11.5703125" style="248" customWidth="1"/>
    <col min="12038" max="12038" width="14" style="248" customWidth="1"/>
    <col min="12039" max="12039" width="14.140625" style="248" customWidth="1"/>
    <col min="12040" max="12040" width="13.140625" style="248" customWidth="1"/>
    <col min="12041" max="12041" width="13" style="248" customWidth="1"/>
    <col min="12042" max="12042" width="14.140625" style="248" bestFit="1" customWidth="1"/>
    <col min="12043" max="12043" width="10.85546875" style="248" customWidth="1"/>
    <col min="12044" max="12044" width="11.140625" style="248" customWidth="1"/>
    <col min="12045" max="12045" width="12.5703125" style="248" customWidth="1"/>
    <col min="12046" max="12046" width="9.28515625" style="248" bestFit="1" customWidth="1"/>
    <col min="12047" max="12288" width="9.140625" style="248"/>
    <col min="12289" max="12289" width="46.5703125" style="248" bestFit="1" customWidth="1"/>
    <col min="12290" max="12290" width="10.42578125" style="248" customWidth="1"/>
    <col min="12291" max="12291" width="13.7109375" style="248" bestFit="1" customWidth="1"/>
    <col min="12292" max="12292" width="15" style="248" customWidth="1"/>
    <col min="12293" max="12293" width="11.5703125" style="248" customWidth="1"/>
    <col min="12294" max="12294" width="14" style="248" customWidth="1"/>
    <col min="12295" max="12295" width="14.140625" style="248" customWidth="1"/>
    <col min="12296" max="12296" width="13.140625" style="248" customWidth="1"/>
    <col min="12297" max="12297" width="13" style="248" customWidth="1"/>
    <col min="12298" max="12298" width="14.140625" style="248" bestFit="1" customWidth="1"/>
    <col min="12299" max="12299" width="10.85546875" style="248" customWidth="1"/>
    <col min="12300" max="12300" width="11.140625" style="248" customWidth="1"/>
    <col min="12301" max="12301" width="12.5703125" style="248" customWidth="1"/>
    <col min="12302" max="12302" width="9.28515625" style="248" bestFit="1" customWidth="1"/>
    <col min="12303" max="12544" width="9.140625" style="248"/>
    <col min="12545" max="12545" width="46.5703125" style="248" bestFit="1" customWidth="1"/>
    <col min="12546" max="12546" width="10.42578125" style="248" customWidth="1"/>
    <col min="12547" max="12547" width="13.7109375" style="248" bestFit="1" customWidth="1"/>
    <col min="12548" max="12548" width="15" style="248" customWidth="1"/>
    <col min="12549" max="12549" width="11.5703125" style="248" customWidth="1"/>
    <col min="12550" max="12550" width="14" style="248" customWidth="1"/>
    <col min="12551" max="12551" width="14.140625" style="248" customWidth="1"/>
    <col min="12552" max="12552" width="13.140625" style="248" customWidth="1"/>
    <col min="12553" max="12553" width="13" style="248" customWidth="1"/>
    <col min="12554" max="12554" width="14.140625" style="248" bestFit="1" customWidth="1"/>
    <col min="12555" max="12555" width="10.85546875" style="248" customWidth="1"/>
    <col min="12556" max="12556" width="11.140625" style="248" customWidth="1"/>
    <col min="12557" max="12557" width="12.5703125" style="248" customWidth="1"/>
    <col min="12558" max="12558" width="9.28515625" style="248" bestFit="1" customWidth="1"/>
    <col min="12559" max="12800" width="9.140625" style="248"/>
    <col min="12801" max="12801" width="46.5703125" style="248" bestFit="1" customWidth="1"/>
    <col min="12802" max="12802" width="10.42578125" style="248" customWidth="1"/>
    <col min="12803" max="12803" width="13.7109375" style="248" bestFit="1" customWidth="1"/>
    <col min="12804" max="12804" width="15" style="248" customWidth="1"/>
    <col min="12805" max="12805" width="11.5703125" style="248" customWidth="1"/>
    <col min="12806" max="12806" width="14" style="248" customWidth="1"/>
    <col min="12807" max="12807" width="14.140625" style="248" customWidth="1"/>
    <col min="12808" max="12808" width="13.140625" style="248" customWidth="1"/>
    <col min="12809" max="12809" width="13" style="248" customWidth="1"/>
    <col min="12810" max="12810" width="14.140625" style="248" bestFit="1" customWidth="1"/>
    <col min="12811" max="12811" width="10.85546875" style="248" customWidth="1"/>
    <col min="12812" max="12812" width="11.140625" style="248" customWidth="1"/>
    <col min="12813" max="12813" width="12.5703125" style="248" customWidth="1"/>
    <col min="12814" max="12814" width="9.28515625" style="248" bestFit="1" customWidth="1"/>
    <col min="12815" max="13056" width="9.140625" style="248"/>
    <col min="13057" max="13057" width="46.5703125" style="248" bestFit="1" customWidth="1"/>
    <col min="13058" max="13058" width="10.42578125" style="248" customWidth="1"/>
    <col min="13059" max="13059" width="13.7109375" style="248" bestFit="1" customWidth="1"/>
    <col min="13060" max="13060" width="15" style="248" customWidth="1"/>
    <col min="13061" max="13061" width="11.5703125" style="248" customWidth="1"/>
    <col min="13062" max="13062" width="14" style="248" customWidth="1"/>
    <col min="13063" max="13063" width="14.140625" style="248" customWidth="1"/>
    <col min="13064" max="13064" width="13.140625" style="248" customWidth="1"/>
    <col min="13065" max="13065" width="13" style="248" customWidth="1"/>
    <col min="13066" max="13066" width="14.140625" style="248" bestFit="1" customWidth="1"/>
    <col min="13067" max="13067" width="10.85546875" style="248" customWidth="1"/>
    <col min="13068" max="13068" width="11.140625" style="248" customWidth="1"/>
    <col min="13069" max="13069" width="12.5703125" style="248" customWidth="1"/>
    <col min="13070" max="13070" width="9.28515625" style="248" bestFit="1" customWidth="1"/>
    <col min="13071" max="13312" width="9.140625" style="248"/>
    <col min="13313" max="13313" width="46.5703125" style="248" bestFit="1" customWidth="1"/>
    <col min="13314" max="13314" width="10.42578125" style="248" customWidth="1"/>
    <col min="13315" max="13315" width="13.7109375" style="248" bestFit="1" customWidth="1"/>
    <col min="13316" max="13316" width="15" style="248" customWidth="1"/>
    <col min="13317" max="13317" width="11.5703125" style="248" customWidth="1"/>
    <col min="13318" max="13318" width="14" style="248" customWidth="1"/>
    <col min="13319" max="13319" width="14.140625" style="248" customWidth="1"/>
    <col min="13320" max="13320" width="13.140625" style="248" customWidth="1"/>
    <col min="13321" max="13321" width="13" style="248" customWidth="1"/>
    <col min="13322" max="13322" width="14.140625" style="248" bestFit="1" customWidth="1"/>
    <col min="13323" max="13323" width="10.85546875" style="248" customWidth="1"/>
    <col min="13324" max="13324" width="11.140625" style="248" customWidth="1"/>
    <col min="13325" max="13325" width="12.5703125" style="248" customWidth="1"/>
    <col min="13326" max="13326" width="9.28515625" style="248" bestFit="1" customWidth="1"/>
    <col min="13327" max="13568" width="9.140625" style="248"/>
    <col min="13569" max="13569" width="46.5703125" style="248" bestFit="1" customWidth="1"/>
    <col min="13570" max="13570" width="10.42578125" style="248" customWidth="1"/>
    <col min="13571" max="13571" width="13.7109375" style="248" bestFit="1" customWidth="1"/>
    <col min="13572" max="13572" width="15" style="248" customWidth="1"/>
    <col min="13573" max="13573" width="11.5703125" style="248" customWidth="1"/>
    <col min="13574" max="13574" width="14" style="248" customWidth="1"/>
    <col min="13575" max="13575" width="14.140625" style="248" customWidth="1"/>
    <col min="13576" max="13576" width="13.140625" style="248" customWidth="1"/>
    <col min="13577" max="13577" width="13" style="248" customWidth="1"/>
    <col min="13578" max="13578" width="14.140625" style="248" bestFit="1" customWidth="1"/>
    <col min="13579" max="13579" width="10.85546875" style="248" customWidth="1"/>
    <col min="13580" max="13580" width="11.140625" style="248" customWidth="1"/>
    <col min="13581" max="13581" width="12.5703125" style="248" customWidth="1"/>
    <col min="13582" max="13582" width="9.28515625" style="248" bestFit="1" customWidth="1"/>
    <col min="13583" max="13824" width="9.140625" style="248"/>
    <col min="13825" max="13825" width="46.5703125" style="248" bestFit="1" customWidth="1"/>
    <col min="13826" max="13826" width="10.42578125" style="248" customWidth="1"/>
    <col min="13827" max="13827" width="13.7109375" style="248" bestFit="1" customWidth="1"/>
    <col min="13828" max="13828" width="15" style="248" customWidth="1"/>
    <col min="13829" max="13829" width="11.5703125" style="248" customWidth="1"/>
    <col min="13830" max="13830" width="14" style="248" customWidth="1"/>
    <col min="13831" max="13831" width="14.140625" style="248" customWidth="1"/>
    <col min="13832" max="13832" width="13.140625" style="248" customWidth="1"/>
    <col min="13833" max="13833" width="13" style="248" customWidth="1"/>
    <col min="13834" max="13834" width="14.140625" style="248" bestFit="1" customWidth="1"/>
    <col min="13835" max="13835" width="10.85546875" style="248" customWidth="1"/>
    <col min="13836" max="13836" width="11.140625" style="248" customWidth="1"/>
    <col min="13837" max="13837" width="12.5703125" style="248" customWidth="1"/>
    <col min="13838" max="13838" width="9.28515625" style="248" bestFit="1" customWidth="1"/>
    <col min="13839" max="14080" width="9.140625" style="248"/>
    <col min="14081" max="14081" width="46.5703125" style="248" bestFit="1" customWidth="1"/>
    <col min="14082" max="14082" width="10.42578125" style="248" customWidth="1"/>
    <col min="14083" max="14083" width="13.7109375" style="248" bestFit="1" customWidth="1"/>
    <col min="14084" max="14084" width="15" style="248" customWidth="1"/>
    <col min="14085" max="14085" width="11.5703125" style="248" customWidth="1"/>
    <col min="14086" max="14086" width="14" style="248" customWidth="1"/>
    <col min="14087" max="14087" width="14.140625" style="248" customWidth="1"/>
    <col min="14088" max="14088" width="13.140625" style="248" customWidth="1"/>
    <col min="14089" max="14089" width="13" style="248" customWidth="1"/>
    <col min="14090" max="14090" width="14.140625" style="248" bestFit="1" customWidth="1"/>
    <col min="14091" max="14091" width="10.85546875" style="248" customWidth="1"/>
    <col min="14092" max="14092" width="11.140625" style="248" customWidth="1"/>
    <col min="14093" max="14093" width="12.5703125" style="248" customWidth="1"/>
    <col min="14094" max="14094" width="9.28515625" style="248" bestFit="1" customWidth="1"/>
    <col min="14095" max="14336" width="9.140625" style="248"/>
    <col min="14337" max="14337" width="46.5703125" style="248" bestFit="1" customWidth="1"/>
    <col min="14338" max="14338" width="10.42578125" style="248" customWidth="1"/>
    <col min="14339" max="14339" width="13.7109375" style="248" bestFit="1" customWidth="1"/>
    <col min="14340" max="14340" width="15" style="248" customWidth="1"/>
    <col min="14341" max="14341" width="11.5703125" style="248" customWidth="1"/>
    <col min="14342" max="14342" width="14" style="248" customWidth="1"/>
    <col min="14343" max="14343" width="14.140625" style="248" customWidth="1"/>
    <col min="14344" max="14344" width="13.140625" style="248" customWidth="1"/>
    <col min="14345" max="14345" width="13" style="248" customWidth="1"/>
    <col min="14346" max="14346" width="14.140625" style="248" bestFit="1" customWidth="1"/>
    <col min="14347" max="14347" width="10.85546875" style="248" customWidth="1"/>
    <col min="14348" max="14348" width="11.140625" style="248" customWidth="1"/>
    <col min="14349" max="14349" width="12.5703125" style="248" customWidth="1"/>
    <col min="14350" max="14350" width="9.28515625" style="248" bestFit="1" customWidth="1"/>
    <col min="14351" max="14592" width="9.140625" style="248"/>
    <col min="14593" max="14593" width="46.5703125" style="248" bestFit="1" customWidth="1"/>
    <col min="14594" max="14594" width="10.42578125" style="248" customWidth="1"/>
    <col min="14595" max="14595" width="13.7109375" style="248" bestFit="1" customWidth="1"/>
    <col min="14596" max="14596" width="15" style="248" customWidth="1"/>
    <col min="14597" max="14597" width="11.5703125" style="248" customWidth="1"/>
    <col min="14598" max="14598" width="14" style="248" customWidth="1"/>
    <col min="14599" max="14599" width="14.140625" style="248" customWidth="1"/>
    <col min="14600" max="14600" width="13.140625" style="248" customWidth="1"/>
    <col min="14601" max="14601" width="13" style="248" customWidth="1"/>
    <col min="14602" max="14602" width="14.140625" style="248" bestFit="1" customWidth="1"/>
    <col min="14603" max="14603" width="10.85546875" style="248" customWidth="1"/>
    <col min="14604" max="14604" width="11.140625" style="248" customWidth="1"/>
    <col min="14605" max="14605" width="12.5703125" style="248" customWidth="1"/>
    <col min="14606" max="14606" width="9.28515625" style="248" bestFit="1" customWidth="1"/>
    <col min="14607" max="14848" width="9.140625" style="248"/>
    <col min="14849" max="14849" width="46.5703125" style="248" bestFit="1" customWidth="1"/>
    <col min="14850" max="14850" width="10.42578125" style="248" customWidth="1"/>
    <col min="14851" max="14851" width="13.7109375" style="248" bestFit="1" customWidth="1"/>
    <col min="14852" max="14852" width="15" style="248" customWidth="1"/>
    <col min="14853" max="14853" width="11.5703125" style="248" customWidth="1"/>
    <col min="14854" max="14854" width="14" style="248" customWidth="1"/>
    <col min="14855" max="14855" width="14.140625" style="248" customWidth="1"/>
    <col min="14856" max="14856" width="13.140625" style="248" customWidth="1"/>
    <col min="14857" max="14857" width="13" style="248" customWidth="1"/>
    <col min="14858" max="14858" width="14.140625" style="248" bestFit="1" customWidth="1"/>
    <col min="14859" max="14859" width="10.85546875" style="248" customWidth="1"/>
    <col min="14860" max="14860" width="11.140625" style="248" customWidth="1"/>
    <col min="14861" max="14861" width="12.5703125" style="248" customWidth="1"/>
    <col min="14862" max="14862" width="9.28515625" style="248" bestFit="1" customWidth="1"/>
    <col min="14863" max="15104" width="9.140625" style="248"/>
    <col min="15105" max="15105" width="46.5703125" style="248" bestFit="1" customWidth="1"/>
    <col min="15106" max="15106" width="10.42578125" style="248" customWidth="1"/>
    <col min="15107" max="15107" width="13.7109375" style="248" bestFit="1" customWidth="1"/>
    <col min="15108" max="15108" width="15" style="248" customWidth="1"/>
    <col min="15109" max="15109" width="11.5703125" style="248" customWidth="1"/>
    <col min="15110" max="15110" width="14" style="248" customWidth="1"/>
    <col min="15111" max="15111" width="14.140625" style="248" customWidth="1"/>
    <col min="15112" max="15112" width="13.140625" style="248" customWidth="1"/>
    <col min="15113" max="15113" width="13" style="248" customWidth="1"/>
    <col min="15114" max="15114" width="14.140625" style="248" bestFit="1" customWidth="1"/>
    <col min="15115" max="15115" width="10.85546875" style="248" customWidth="1"/>
    <col min="15116" max="15116" width="11.140625" style="248" customWidth="1"/>
    <col min="15117" max="15117" width="12.5703125" style="248" customWidth="1"/>
    <col min="15118" max="15118" width="9.28515625" style="248" bestFit="1" customWidth="1"/>
    <col min="15119" max="15360" width="9.140625" style="248"/>
    <col min="15361" max="15361" width="46.5703125" style="248" bestFit="1" customWidth="1"/>
    <col min="15362" max="15362" width="10.42578125" style="248" customWidth="1"/>
    <col min="15363" max="15363" width="13.7109375" style="248" bestFit="1" customWidth="1"/>
    <col min="15364" max="15364" width="15" style="248" customWidth="1"/>
    <col min="15365" max="15365" width="11.5703125" style="248" customWidth="1"/>
    <col min="15366" max="15366" width="14" style="248" customWidth="1"/>
    <col min="15367" max="15367" width="14.140625" style="248" customWidth="1"/>
    <col min="15368" max="15368" width="13.140625" style="248" customWidth="1"/>
    <col min="15369" max="15369" width="13" style="248" customWidth="1"/>
    <col min="15370" max="15370" width="14.140625" style="248" bestFit="1" customWidth="1"/>
    <col min="15371" max="15371" width="10.85546875" style="248" customWidth="1"/>
    <col min="15372" max="15372" width="11.140625" style="248" customWidth="1"/>
    <col min="15373" max="15373" width="12.5703125" style="248" customWidth="1"/>
    <col min="15374" max="15374" width="9.28515625" style="248" bestFit="1" customWidth="1"/>
    <col min="15375" max="15616" width="9.140625" style="248"/>
    <col min="15617" max="15617" width="46.5703125" style="248" bestFit="1" customWidth="1"/>
    <col min="15618" max="15618" width="10.42578125" style="248" customWidth="1"/>
    <col min="15619" max="15619" width="13.7109375" style="248" bestFit="1" customWidth="1"/>
    <col min="15620" max="15620" width="15" style="248" customWidth="1"/>
    <col min="15621" max="15621" width="11.5703125" style="248" customWidth="1"/>
    <col min="15622" max="15622" width="14" style="248" customWidth="1"/>
    <col min="15623" max="15623" width="14.140625" style="248" customWidth="1"/>
    <col min="15624" max="15624" width="13.140625" style="248" customWidth="1"/>
    <col min="15625" max="15625" width="13" style="248" customWidth="1"/>
    <col min="15626" max="15626" width="14.140625" style="248" bestFit="1" customWidth="1"/>
    <col min="15627" max="15627" width="10.85546875" style="248" customWidth="1"/>
    <col min="15628" max="15628" width="11.140625" style="248" customWidth="1"/>
    <col min="15629" max="15629" width="12.5703125" style="248" customWidth="1"/>
    <col min="15630" max="15630" width="9.28515625" style="248" bestFit="1" customWidth="1"/>
    <col min="15631" max="15872" width="9.140625" style="248"/>
    <col min="15873" max="15873" width="46.5703125" style="248" bestFit="1" customWidth="1"/>
    <col min="15874" max="15874" width="10.42578125" style="248" customWidth="1"/>
    <col min="15875" max="15875" width="13.7109375" style="248" bestFit="1" customWidth="1"/>
    <col min="15876" max="15876" width="15" style="248" customWidth="1"/>
    <col min="15877" max="15877" width="11.5703125" style="248" customWidth="1"/>
    <col min="15878" max="15878" width="14" style="248" customWidth="1"/>
    <col min="15879" max="15879" width="14.140625" style="248" customWidth="1"/>
    <col min="15880" max="15880" width="13.140625" style="248" customWidth="1"/>
    <col min="15881" max="15881" width="13" style="248" customWidth="1"/>
    <col min="15882" max="15882" width="14.140625" style="248" bestFit="1" customWidth="1"/>
    <col min="15883" max="15883" width="10.85546875" style="248" customWidth="1"/>
    <col min="15884" max="15884" width="11.140625" style="248" customWidth="1"/>
    <col min="15885" max="15885" width="12.5703125" style="248" customWidth="1"/>
    <col min="15886" max="15886" width="9.28515625" style="248" bestFit="1" customWidth="1"/>
    <col min="15887" max="16128" width="9.140625" style="248"/>
    <col min="16129" max="16129" width="46.5703125" style="248" bestFit="1" customWidth="1"/>
    <col min="16130" max="16130" width="10.42578125" style="248" customWidth="1"/>
    <col min="16131" max="16131" width="13.7109375" style="248" bestFit="1" customWidth="1"/>
    <col min="16132" max="16132" width="15" style="248" customWidth="1"/>
    <col min="16133" max="16133" width="11.5703125" style="248" customWidth="1"/>
    <col min="16134" max="16134" width="14" style="248" customWidth="1"/>
    <col min="16135" max="16135" width="14.140625" style="248" customWidth="1"/>
    <col min="16136" max="16136" width="13.140625" style="248" customWidth="1"/>
    <col min="16137" max="16137" width="13" style="248" customWidth="1"/>
    <col min="16138" max="16138" width="14.140625" style="248" bestFit="1" customWidth="1"/>
    <col min="16139" max="16139" width="10.85546875" style="248" customWidth="1"/>
    <col min="16140" max="16140" width="11.140625" style="248" customWidth="1"/>
    <col min="16141" max="16141" width="12.5703125" style="248" customWidth="1"/>
    <col min="16142" max="16142" width="9.28515625" style="248" bestFit="1" customWidth="1"/>
    <col min="16143" max="16384" width="9.140625" style="248"/>
  </cols>
  <sheetData>
    <row r="1" spans="1:14" ht="18">
      <c r="A1" s="893" t="s">
        <v>31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</row>
    <row r="2" spans="1:14" ht="15.75">
      <c r="A2" s="894" t="s">
        <v>342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</row>
    <row r="3" spans="1:14" ht="18.75" customHeight="1">
      <c r="A3" s="489" t="s">
        <v>585</v>
      </c>
      <c r="B3" s="489"/>
      <c r="C3" s="489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.7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1" customHeight="1">
      <c r="A5" s="252" t="s">
        <v>272</v>
      </c>
      <c r="B5" s="895" t="s">
        <v>343</v>
      </c>
      <c r="C5" s="895"/>
      <c r="D5" s="895"/>
      <c r="E5" s="895"/>
      <c r="F5" s="252" t="s">
        <v>344</v>
      </c>
      <c r="G5" s="252"/>
      <c r="H5" s="896">
        <v>10</v>
      </c>
      <c r="I5" s="896"/>
      <c r="J5" s="252" t="s">
        <v>32</v>
      </c>
      <c r="K5" s="364" t="s">
        <v>345</v>
      </c>
      <c r="L5" s="252" t="s">
        <v>86</v>
      </c>
      <c r="M5" s="252"/>
      <c r="N5" s="364" t="s">
        <v>346</v>
      </c>
    </row>
    <row r="6" spans="1:14" ht="7.5" customHeight="1">
      <c r="A6" s="252"/>
      <c r="B6" s="254"/>
      <c r="C6" s="254"/>
      <c r="D6" s="254"/>
      <c r="E6" s="254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21" customHeight="1">
      <c r="A7" s="252" t="s">
        <v>347</v>
      </c>
      <c r="B7" s="889" t="s">
        <v>348</v>
      </c>
      <c r="C7" s="890"/>
      <c r="D7" s="890"/>
      <c r="E7" s="891"/>
      <c r="F7" s="892" t="s">
        <v>280</v>
      </c>
      <c r="G7" s="892"/>
      <c r="H7" s="889" t="s">
        <v>349</v>
      </c>
      <c r="I7" s="890"/>
      <c r="J7" s="891"/>
      <c r="K7" s="252"/>
      <c r="L7" s="252"/>
      <c r="M7" s="252"/>
      <c r="N7" s="252"/>
    </row>
    <row r="8" spans="1:14" ht="10.5" customHeight="1">
      <c r="A8" s="252"/>
      <c r="B8" s="254"/>
      <c r="C8" s="254"/>
      <c r="D8" s="254"/>
      <c r="E8" s="254"/>
      <c r="F8" s="367"/>
      <c r="G8" s="367"/>
      <c r="H8" s="254"/>
      <c r="I8" s="254"/>
      <c r="J8" s="254"/>
      <c r="K8" s="252"/>
      <c r="L8" s="252"/>
      <c r="M8" s="252"/>
      <c r="N8" s="252"/>
    </row>
    <row r="9" spans="1:14" ht="38.25" customHeight="1">
      <c r="A9" s="256" t="s">
        <v>350</v>
      </c>
      <c r="B9" s="897" t="s">
        <v>351</v>
      </c>
      <c r="C9" s="897"/>
      <c r="D9" s="897"/>
      <c r="E9" s="897"/>
      <c r="F9" s="898"/>
      <c r="G9" s="899"/>
      <c r="H9" s="897" t="s">
        <v>352</v>
      </c>
      <c r="I9" s="897"/>
      <c r="J9" s="897"/>
      <c r="K9" s="897"/>
      <c r="L9" s="252"/>
      <c r="M9" s="252"/>
      <c r="N9" s="252"/>
    </row>
    <row r="10" spans="1:14" ht="21" customHeight="1">
      <c r="A10" s="252"/>
      <c r="B10" s="897"/>
      <c r="C10" s="897"/>
      <c r="D10" s="897"/>
      <c r="E10" s="897"/>
      <c r="F10" s="898"/>
      <c r="G10" s="899"/>
      <c r="H10" s="897"/>
      <c r="I10" s="897"/>
      <c r="J10" s="897"/>
      <c r="K10" s="897"/>
      <c r="L10" s="252"/>
      <c r="M10" s="252"/>
      <c r="N10" s="252"/>
    </row>
    <row r="11" spans="1:14" ht="21" customHeight="1">
      <c r="A11" s="252"/>
      <c r="B11" s="897"/>
      <c r="C11" s="897"/>
      <c r="D11" s="897"/>
      <c r="E11" s="897"/>
      <c r="F11" s="898"/>
      <c r="G11" s="899"/>
      <c r="H11" s="897"/>
      <c r="I11" s="897"/>
      <c r="J11" s="897"/>
      <c r="K11" s="897"/>
      <c r="L11" s="252"/>
      <c r="M11" s="252"/>
      <c r="N11" s="252"/>
    </row>
    <row r="12" spans="1:14" ht="14.25" customHeight="1">
      <c r="A12" s="252"/>
      <c r="B12" s="254"/>
      <c r="C12" s="254"/>
      <c r="D12" s="254"/>
      <c r="E12" s="254"/>
      <c r="F12" s="252"/>
      <c r="G12" s="252"/>
      <c r="H12" s="254"/>
      <c r="I12" s="254"/>
      <c r="J12" s="254"/>
      <c r="K12" s="254"/>
      <c r="L12" s="252"/>
      <c r="M12" s="252"/>
      <c r="N12" s="252"/>
    </row>
    <row r="13" spans="1:14" ht="21" customHeight="1">
      <c r="A13" s="252" t="s">
        <v>353</v>
      </c>
      <c r="B13" s="364">
        <v>42</v>
      </c>
      <c r="C13" s="252" t="s">
        <v>354</v>
      </c>
      <c r="D13" s="252"/>
      <c r="E13" s="252"/>
      <c r="F13" s="364">
        <v>34</v>
      </c>
      <c r="G13" s="252" t="s">
        <v>36</v>
      </c>
      <c r="H13" s="365">
        <v>139</v>
      </c>
      <c r="I13" s="252" t="s">
        <v>37</v>
      </c>
      <c r="J13" s="365">
        <v>15</v>
      </c>
      <c r="K13" s="252" t="s">
        <v>38</v>
      </c>
      <c r="L13" s="364">
        <v>41</v>
      </c>
      <c r="M13" s="252"/>
      <c r="N13" s="252"/>
    </row>
    <row r="14" spans="1:14" ht="10.5" customHeight="1">
      <c r="A14" s="252"/>
      <c r="B14" s="252"/>
      <c r="C14" s="252"/>
      <c r="D14" s="252"/>
      <c r="E14" s="252"/>
      <c r="F14" s="252"/>
      <c r="G14" s="252"/>
      <c r="H14" s="257"/>
      <c r="I14" s="257"/>
      <c r="J14" s="257"/>
      <c r="K14" s="254"/>
      <c r="L14" s="254"/>
      <c r="M14" s="254"/>
      <c r="N14" s="252"/>
    </row>
    <row r="15" spans="1:14" ht="7.5" customHeight="1">
      <c r="A15" s="252"/>
      <c r="C15" s="252"/>
      <c r="D15" s="252"/>
      <c r="E15" s="252"/>
      <c r="G15" s="252"/>
      <c r="I15" s="252"/>
      <c r="J15" s="252"/>
      <c r="K15" s="252"/>
      <c r="L15" s="252"/>
      <c r="M15" s="252"/>
      <c r="N15" s="252"/>
    </row>
    <row r="16" spans="1:14" ht="21" customHeight="1">
      <c r="A16" s="252" t="s">
        <v>39</v>
      </c>
      <c r="B16" s="252" t="s">
        <v>40</v>
      </c>
      <c r="C16" s="364">
        <v>1795</v>
      </c>
      <c r="D16" s="252" t="s">
        <v>41</v>
      </c>
      <c r="E16" s="364">
        <v>260</v>
      </c>
      <c r="F16" s="252" t="s">
        <v>42</v>
      </c>
      <c r="G16" s="253">
        <v>227</v>
      </c>
      <c r="H16" s="252" t="s">
        <v>64</v>
      </c>
      <c r="I16" s="253">
        <f>C16+E16+G16</f>
        <v>2282</v>
      </c>
      <c r="J16" s="252" t="s">
        <v>43</v>
      </c>
      <c r="K16" s="364">
        <v>414</v>
      </c>
      <c r="L16" s="252" t="s">
        <v>232</v>
      </c>
      <c r="M16" s="252"/>
      <c r="N16" s="364">
        <v>132</v>
      </c>
    </row>
    <row r="17" spans="1:14" ht="21" customHeight="1">
      <c r="A17" s="252" t="s">
        <v>45</v>
      </c>
      <c r="B17" s="252" t="s">
        <v>46</v>
      </c>
      <c r="C17" s="364">
        <v>4020</v>
      </c>
      <c r="D17" s="252" t="s">
        <v>47</v>
      </c>
      <c r="E17" s="364">
        <v>540</v>
      </c>
      <c r="F17" s="252" t="s">
        <v>48</v>
      </c>
      <c r="G17" s="364">
        <v>320</v>
      </c>
      <c r="H17" s="252" t="s">
        <v>77</v>
      </c>
      <c r="I17" s="253">
        <f>C17+E17+G17</f>
        <v>4880</v>
      </c>
      <c r="J17" s="252"/>
      <c r="K17" s="252"/>
      <c r="L17" s="252"/>
      <c r="M17" s="252"/>
      <c r="N17" s="252"/>
    </row>
    <row r="18" spans="1:14" ht="22.5" customHeight="1">
      <c r="A18" s="252"/>
      <c r="B18" s="252" t="s">
        <v>49</v>
      </c>
      <c r="C18" s="364">
        <v>4214</v>
      </c>
      <c r="D18" s="252" t="s">
        <v>50</v>
      </c>
      <c r="E18" s="364">
        <v>587</v>
      </c>
      <c r="F18" s="252" t="s">
        <v>51</v>
      </c>
      <c r="G18" s="364">
        <v>334</v>
      </c>
      <c r="H18" s="252" t="s">
        <v>76</v>
      </c>
      <c r="I18" s="253">
        <f>C18+E18+G18</f>
        <v>5135</v>
      </c>
      <c r="J18" s="252"/>
      <c r="K18" s="252"/>
      <c r="L18" s="252"/>
      <c r="M18" s="252"/>
      <c r="N18" s="252"/>
    </row>
    <row r="19" spans="1:14" ht="6" customHeight="1">
      <c r="A19" s="252"/>
      <c r="B19" s="252"/>
      <c r="C19" s="252"/>
      <c r="D19" s="252"/>
      <c r="E19" s="252"/>
      <c r="F19" s="252"/>
      <c r="G19" s="252"/>
      <c r="H19" s="252"/>
      <c r="I19" s="258"/>
      <c r="J19" s="252"/>
      <c r="K19" s="252"/>
      <c r="L19" s="252"/>
      <c r="M19" s="252"/>
      <c r="N19" s="252"/>
    </row>
    <row r="20" spans="1:14">
      <c r="A20" s="252" t="s">
        <v>52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4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 ht="20.25" customHeight="1">
      <c r="A22" s="896" t="s">
        <v>53</v>
      </c>
      <c r="B22" s="900" t="s">
        <v>54</v>
      </c>
      <c r="C22" s="900" t="s">
        <v>55</v>
      </c>
      <c r="D22" s="900" t="s">
        <v>663</v>
      </c>
      <c r="E22" s="900" t="s">
        <v>103</v>
      </c>
      <c r="F22" s="895" t="s">
        <v>664</v>
      </c>
      <c r="G22" s="895"/>
      <c r="H22" s="895"/>
      <c r="I22" s="895"/>
      <c r="J22" s="895"/>
      <c r="K22" s="895"/>
      <c r="L22" s="895"/>
      <c r="M22" s="895"/>
      <c r="N22" s="895"/>
    </row>
    <row r="23" spans="1:14" ht="33" customHeight="1">
      <c r="A23" s="896"/>
      <c r="B23" s="900"/>
      <c r="C23" s="900"/>
      <c r="D23" s="900"/>
      <c r="E23" s="900"/>
      <c r="F23" s="113" t="s">
        <v>355</v>
      </c>
      <c r="G23" s="113" t="s">
        <v>356</v>
      </c>
      <c r="H23" s="364" t="s">
        <v>107</v>
      </c>
      <c r="I23" s="364" t="s">
        <v>108</v>
      </c>
      <c r="J23" s="364" t="s">
        <v>109</v>
      </c>
      <c r="K23" s="364" t="s">
        <v>110</v>
      </c>
      <c r="L23" s="364" t="s">
        <v>111</v>
      </c>
      <c r="M23" s="364" t="s">
        <v>64</v>
      </c>
      <c r="N23" s="364" t="s">
        <v>65</v>
      </c>
    </row>
    <row r="24" spans="1:14" ht="20.25" customHeight="1">
      <c r="A24" s="249" t="s">
        <v>370</v>
      </c>
      <c r="B24" s="249">
        <v>500</v>
      </c>
      <c r="C24" s="249" t="s">
        <v>300</v>
      </c>
      <c r="D24" s="380">
        <f>5019.6*B24</f>
        <v>2509800</v>
      </c>
      <c r="E24" s="380">
        <v>1717244</v>
      </c>
      <c r="F24" s="381">
        <f>626334+500000</f>
        <v>1126334</v>
      </c>
      <c r="G24" s="381">
        <v>474130</v>
      </c>
      <c r="H24" s="381"/>
      <c r="I24" s="381"/>
      <c r="J24" s="381"/>
      <c r="K24" s="381"/>
      <c r="L24" s="381"/>
      <c r="M24" s="381">
        <f>SUM(F24:L24)</f>
        <v>1600464</v>
      </c>
      <c r="N24" s="251">
        <f>+M24/E24*100</f>
        <v>93.199568611100119</v>
      </c>
    </row>
    <row r="25" spans="1:14" ht="20.25" customHeight="1">
      <c r="A25" s="249" t="s">
        <v>338</v>
      </c>
      <c r="B25" s="249">
        <v>360</v>
      </c>
      <c r="C25" s="249" t="s">
        <v>300</v>
      </c>
      <c r="D25" s="380">
        <f>5019.6*B25</f>
        <v>1807056.0000000002</v>
      </c>
      <c r="E25" s="380">
        <v>384950</v>
      </c>
      <c r="F25" s="381">
        <v>0</v>
      </c>
      <c r="G25" s="381">
        <v>214760</v>
      </c>
      <c r="H25" s="381"/>
      <c r="I25" s="381"/>
      <c r="J25" s="381"/>
      <c r="K25" s="381"/>
      <c r="L25" s="381"/>
      <c r="M25" s="381">
        <f>SUM(F25:L25)</f>
        <v>214760</v>
      </c>
      <c r="N25" s="251">
        <f t="shared" ref="N25:N32" si="0">+M25/E25*100</f>
        <v>55.789063514742175</v>
      </c>
    </row>
    <row r="26" spans="1:14" ht="20.25" customHeight="1">
      <c r="A26" s="249" t="s">
        <v>321</v>
      </c>
      <c r="B26" s="249">
        <v>8.4</v>
      </c>
      <c r="C26" s="249" t="s">
        <v>363</v>
      </c>
      <c r="D26" s="259">
        <f>(6000*12+10000*72)*7</f>
        <v>5544000</v>
      </c>
      <c r="E26" s="380">
        <v>690000</v>
      </c>
      <c r="F26" s="381">
        <v>390000</v>
      </c>
      <c r="G26" s="381">
        <f>452789+60000</f>
        <v>512789</v>
      </c>
      <c r="H26" s="381"/>
      <c r="I26" s="381"/>
      <c r="J26" s="381"/>
      <c r="K26" s="381"/>
      <c r="L26" s="381"/>
      <c r="M26" s="381">
        <f t="shared" ref="M26:M31" si="1">SUM(F26:L26)</f>
        <v>902789</v>
      </c>
      <c r="N26" s="251">
        <f t="shared" si="0"/>
        <v>130.83898550724638</v>
      </c>
    </row>
    <row r="27" spans="1:14" ht="20.25" customHeight="1">
      <c r="A27" s="249" t="s">
        <v>246</v>
      </c>
      <c r="B27" s="249">
        <v>0.84</v>
      </c>
      <c r="C27" s="249" t="s">
        <v>363</v>
      </c>
      <c r="D27" s="259">
        <f>1000*7*84</f>
        <v>588000</v>
      </c>
      <c r="E27" s="380">
        <v>252000</v>
      </c>
      <c r="F27" s="381">
        <f>97500+58500</f>
        <v>156000</v>
      </c>
      <c r="G27" s="381">
        <v>0</v>
      </c>
      <c r="H27" s="381"/>
      <c r="I27" s="381"/>
      <c r="J27" s="381"/>
      <c r="K27" s="381"/>
      <c r="L27" s="381"/>
      <c r="M27" s="381">
        <f t="shared" si="1"/>
        <v>156000</v>
      </c>
      <c r="N27" s="251">
        <f t="shared" si="0"/>
        <v>61.904761904761905</v>
      </c>
    </row>
    <row r="28" spans="1:14" ht="20.25" customHeight="1">
      <c r="A28" s="249" t="s">
        <v>322</v>
      </c>
      <c r="B28" s="249">
        <v>3.6</v>
      </c>
      <c r="C28" s="249" t="s">
        <v>363</v>
      </c>
      <c r="D28" s="248">
        <f>2000*24*10+60*3000*10</f>
        <v>2280000</v>
      </c>
      <c r="E28" s="380">
        <v>500000</v>
      </c>
      <c r="F28" s="381">
        <v>260000</v>
      </c>
      <c r="G28" s="381">
        <v>240000</v>
      </c>
      <c r="H28" s="381"/>
      <c r="I28" s="381"/>
      <c r="J28" s="381"/>
      <c r="K28" s="381"/>
      <c r="L28" s="381"/>
      <c r="M28" s="381">
        <f t="shared" si="1"/>
        <v>500000</v>
      </c>
      <c r="N28" s="251">
        <f t="shared" si="0"/>
        <v>100</v>
      </c>
    </row>
    <row r="29" spans="1:14" ht="20.25" customHeight="1">
      <c r="A29" s="249" t="s">
        <v>305</v>
      </c>
      <c r="B29" s="249">
        <v>0.24</v>
      </c>
      <c r="C29" s="249" t="s">
        <v>363</v>
      </c>
      <c r="D29" s="259">
        <f>24000*7</f>
        <v>168000</v>
      </c>
      <c r="E29" s="380">
        <v>50000</v>
      </c>
      <c r="F29" s="381">
        <v>26000</v>
      </c>
      <c r="G29" s="381">
        <v>24000</v>
      </c>
      <c r="H29" s="381"/>
      <c r="I29" s="381"/>
      <c r="J29" s="381"/>
      <c r="K29" s="381"/>
      <c r="L29" s="381"/>
      <c r="M29" s="381">
        <f t="shared" si="1"/>
        <v>50000</v>
      </c>
      <c r="N29" s="251">
        <f t="shared" si="0"/>
        <v>100</v>
      </c>
    </row>
    <row r="30" spans="1:14" ht="20.25" customHeight="1">
      <c r="A30" s="249" t="s">
        <v>306</v>
      </c>
      <c r="B30" s="249">
        <v>0.36</v>
      </c>
      <c r="C30" s="249" t="s">
        <v>363</v>
      </c>
      <c r="D30" s="259">
        <f>36000*7</f>
        <v>252000</v>
      </c>
      <c r="E30" s="380">
        <v>75000</v>
      </c>
      <c r="F30" s="381">
        <v>39000</v>
      </c>
      <c r="G30" s="381">
        <v>36000</v>
      </c>
      <c r="H30" s="381"/>
      <c r="I30" s="381"/>
      <c r="J30" s="381"/>
      <c r="K30" s="381"/>
      <c r="L30" s="381"/>
      <c r="M30" s="381">
        <f t="shared" si="1"/>
        <v>75000</v>
      </c>
      <c r="N30" s="251">
        <f t="shared" si="0"/>
        <v>100</v>
      </c>
    </row>
    <row r="31" spans="1:14" ht="20.25" customHeight="1">
      <c r="A31" s="249" t="s">
        <v>371</v>
      </c>
      <c r="B31" s="249">
        <v>0.2</v>
      </c>
      <c r="C31" s="249" t="s">
        <v>68</v>
      </c>
      <c r="D31" s="259">
        <v>20000</v>
      </c>
      <c r="E31" s="382">
        <v>20000</v>
      </c>
      <c r="F31" s="383">
        <v>20000</v>
      </c>
      <c r="G31" s="383">
        <v>0</v>
      </c>
      <c r="H31" s="383"/>
      <c r="I31" s="383"/>
      <c r="J31" s="383"/>
      <c r="K31" s="383"/>
      <c r="L31" s="383"/>
      <c r="M31" s="381">
        <f t="shared" si="1"/>
        <v>20000</v>
      </c>
      <c r="N31" s="251">
        <f t="shared" si="0"/>
        <v>100</v>
      </c>
    </row>
    <row r="32" spans="1:14" ht="20.25" customHeight="1">
      <c r="A32" s="364" t="s">
        <v>69</v>
      </c>
      <c r="B32" s="249"/>
      <c r="C32" s="249"/>
      <c r="D32" s="251">
        <f>SUM(D24:D31)</f>
        <v>13168856</v>
      </c>
      <c r="E32" s="260">
        <v>3689194</v>
      </c>
      <c r="F32" s="260">
        <f t="shared" ref="F32:M32" si="2">SUM(F24:F31)</f>
        <v>2017334</v>
      </c>
      <c r="G32" s="260">
        <f t="shared" si="2"/>
        <v>1501679</v>
      </c>
      <c r="H32" s="260">
        <f t="shared" si="2"/>
        <v>0</v>
      </c>
      <c r="I32" s="260">
        <f t="shared" si="2"/>
        <v>0</v>
      </c>
      <c r="J32" s="260">
        <f t="shared" si="2"/>
        <v>0</v>
      </c>
      <c r="K32" s="260">
        <f t="shared" si="2"/>
        <v>0</v>
      </c>
      <c r="L32" s="260">
        <f t="shared" si="2"/>
        <v>0</v>
      </c>
      <c r="M32" s="260">
        <f t="shared" si="2"/>
        <v>3519013</v>
      </c>
      <c r="N32" s="251">
        <f t="shared" si="0"/>
        <v>95.387041180268639</v>
      </c>
    </row>
    <row r="33" spans="1:9" ht="20.25" customHeight="1"/>
    <row r="34" spans="1:9" ht="20.25" customHeight="1">
      <c r="A34" s="115" t="s">
        <v>665</v>
      </c>
      <c r="E34" s="248" t="s">
        <v>666</v>
      </c>
    </row>
    <row r="35" spans="1:9" ht="20.25" customHeight="1">
      <c r="A35" s="57"/>
      <c r="I35" s="57"/>
    </row>
    <row r="36" spans="1:9" ht="20.25" customHeight="1">
      <c r="A36" s="248" t="s">
        <v>667</v>
      </c>
      <c r="E36" s="248" t="s">
        <v>668</v>
      </c>
    </row>
    <row r="37" spans="1:9" ht="20.25" customHeight="1"/>
  </sheetData>
  <mergeCells count="17">
    <mergeCell ref="B9:E11"/>
    <mergeCell ref="F9:G11"/>
    <mergeCell ref="H9:K11"/>
    <mergeCell ref="A22:A23"/>
    <mergeCell ref="B22:B23"/>
    <mergeCell ref="C22:C23"/>
    <mergeCell ref="D22:D23"/>
    <mergeCell ref="E22:E23"/>
    <mergeCell ref="F22:N22"/>
    <mergeCell ref="B7:E7"/>
    <mergeCell ref="F7:G7"/>
    <mergeCell ref="H7:J7"/>
    <mergeCell ref="A1:N1"/>
    <mergeCell ref="A2:N2"/>
    <mergeCell ref="A3:C3"/>
    <mergeCell ref="B5:E5"/>
    <mergeCell ref="H5:I5"/>
  </mergeCells>
  <hyperlinks>
    <hyperlink ref="A3" location="'Fact Sheet of VDC'!A1" display="&lt;&lt;Back"/>
  </hyperlinks>
  <printOptions horizontalCentered="1" verticalCentered="1"/>
  <pageMargins left="0.15748031496062992" right="0.15748031496062992" top="0.19685039370078741" bottom="0.19685039370078741" header="0.19685039370078741" footer="0.15748031496062992"/>
  <pageSetup paperSize="9" scale="6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zoomScale="85" zoomScaleNormal="85" workbookViewId="0">
      <selection activeCell="A3" sqref="A3:C3"/>
    </sheetView>
  </sheetViews>
  <sheetFormatPr defaultRowHeight="15"/>
  <cols>
    <col min="1" max="1" width="46.5703125" style="248" bestFit="1" customWidth="1"/>
    <col min="2" max="2" width="10.42578125" style="248" customWidth="1"/>
    <col min="3" max="3" width="13.7109375" style="248" bestFit="1" customWidth="1"/>
    <col min="4" max="4" width="11.85546875" style="248" customWidth="1"/>
    <col min="5" max="5" width="11.5703125" style="248" customWidth="1"/>
    <col min="6" max="6" width="14" style="248" customWidth="1"/>
    <col min="7" max="7" width="14.140625" style="248" customWidth="1"/>
    <col min="8" max="8" width="13.140625" style="248" customWidth="1"/>
    <col min="9" max="9" width="13" style="248" customWidth="1"/>
    <col min="10" max="10" width="14.140625" style="248" bestFit="1" customWidth="1"/>
    <col min="11" max="11" width="9.7109375" style="248" customWidth="1"/>
    <col min="12" max="12" width="11.140625" style="248" customWidth="1"/>
    <col min="13" max="13" width="10.28515625" style="248" customWidth="1"/>
    <col min="14" max="14" width="9.28515625" style="248" bestFit="1" customWidth="1"/>
    <col min="15" max="256" width="9.140625" style="248"/>
    <col min="257" max="257" width="46.5703125" style="248" bestFit="1" customWidth="1"/>
    <col min="258" max="258" width="10.42578125" style="248" customWidth="1"/>
    <col min="259" max="259" width="13.7109375" style="248" bestFit="1" customWidth="1"/>
    <col min="260" max="260" width="11.85546875" style="248" customWidth="1"/>
    <col min="261" max="261" width="11.5703125" style="248" customWidth="1"/>
    <col min="262" max="262" width="14" style="248" customWidth="1"/>
    <col min="263" max="263" width="14.140625" style="248" customWidth="1"/>
    <col min="264" max="264" width="13.140625" style="248" customWidth="1"/>
    <col min="265" max="265" width="13" style="248" customWidth="1"/>
    <col min="266" max="266" width="14.140625" style="248" bestFit="1" customWidth="1"/>
    <col min="267" max="267" width="9.7109375" style="248" customWidth="1"/>
    <col min="268" max="268" width="11.140625" style="248" customWidth="1"/>
    <col min="269" max="269" width="10.28515625" style="248" customWidth="1"/>
    <col min="270" max="270" width="9.28515625" style="248" bestFit="1" customWidth="1"/>
    <col min="271" max="512" width="9.140625" style="248"/>
    <col min="513" max="513" width="46.5703125" style="248" bestFit="1" customWidth="1"/>
    <col min="514" max="514" width="10.42578125" style="248" customWidth="1"/>
    <col min="515" max="515" width="13.7109375" style="248" bestFit="1" customWidth="1"/>
    <col min="516" max="516" width="11.85546875" style="248" customWidth="1"/>
    <col min="517" max="517" width="11.5703125" style="248" customWidth="1"/>
    <col min="518" max="518" width="14" style="248" customWidth="1"/>
    <col min="519" max="519" width="14.140625" style="248" customWidth="1"/>
    <col min="520" max="520" width="13.140625" style="248" customWidth="1"/>
    <col min="521" max="521" width="13" style="248" customWidth="1"/>
    <col min="522" max="522" width="14.140625" style="248" bestFit="1" customWidth="1"/>
    <col min="523" max="523" width="9.7109375" style="248" customWidth="1"/>
    <col min="524" max="524" width="11.140625" style="248" customWidth="1"/>
    <col min="525" max="525" width="10.28515625" style="248" customWidth="1"/>
    <col min="526" max="526" width="9.28515625" style="248" bestFit="1" customWidth="1"/>
    <col min="527" max="768" width="9.140625" style="248"/>
    <col min="769" max="769" width="46.5703125" style="248" bestFit="1" customWidth="1"/>
    <col min="770" max="770" width="10.42578125" style="248" customWidth="1"/>
    <col min="771" max="771" width="13.7109375" style="248" bestFit="1" customWidth="1"/>
    <col min="772" max="772" width="11.85546875" style="248" customWidth="1"/>
    <col min="773" max="773" width="11.5703125" style="248" customWidth="1"/>
    <col min="774" max="774" width="14" style="248" customWidth="1"/>
    <col min="775" max="775" width="14.140625" style="248" customWidth="1"/>
    <col min="776" max="776" width="13.140625" style="248" customWidth="1"/>
    <col min="777" max="777" width="13" style="248" customWidth="1"/>
    <col min="778" max="778" width="14.140625" style="248" bestFit="1" customWidth="1"/>
    <col min="779" max="779" width="9.7109375" style="248" customWidth="1"/>
    <col min="780" max="780" width="11.140625" style="248" customWidth="1"/>
    <col min="781" max="781" width="10.28515625" style="248" customWidth="1"/>
    <col min="782" max="782" width="9.28515625" style="248" bestFit="1" customWidth="1"/>
    <col min="783" max="1024" width="9.140625" style="248"/>
    <col min="1025" max="1025" width="46.5703125" style="248" bestFit="1" customWidth="1"/>
    <col min="1026" max="1026" width="10.42578125" style="248" customWidth="1"/>
    <col min="1027" max="1027" width="13.7109375" style="248" bestFit="1" customWidth="1"/>
    <col min="1028" max="1028" width="11.85546875" style="248" customWidth="1"/>
    <col min="1029" max="1029" width="11.5703125" style="248" customWidth="1"/>
    <col min="1030" max="1030" width="14" style="248" customWidth="1"/>
    <col min="1031" max="1031" width="14.140625" style="248" customWidth="1"/>
    <col min="1032" max="1032" width="13.140625" style="248" customWidth="1"/>
    <col min="1033" max="1033" width="13" style="248" customWidth="1"/>
    <col min="1034" max="1034" width="14.140625" style="248" bestFit="1" customWidth="1"/>
    <col min="1035" max="1035" width="9.7109375" style="248" customWidth="1"/>
    <col min="1036" max="1036" width="11.140625" style="248" customWidth="1"/>
    <col min="1037" max="1037" width="10.28515625" style="248" customWidth="1"/>
    <col min="1038" max="1038" width="9.28515625" style="248" bestFit="1" customWidth="1"/>
    <col min="1039" max="1280" width="9.140625" style="248"/>
    <col min="1281" max="1281" width="46.5703125" style="248" bestFit="1" customWidth="1"/>
    <col min="1282" max="1282" width="10.42578125" style="248" customWidth="1"/>
    <col min="1283" max="1283" width="13.7109375" style="248" bestFit="1" customWidth="1"/>
    <col min="1284" max="1284" width="11.85546875" style="248" customWidth="1"/>
    <col min="1285" max="1285" width="11.5703125" style="248" customWidth="1"/>
    <col min="1286" max="1286" width="14" style="248" customWidth="1"/>
    <col min="1287" max="1287" width="14.140625" style="248" customWidth="1"/>
    <col min="1288" max="1288" width="13.140625" style="248" customWidth="1"/>
    <col min="1289" max="1289" width="13" style="248" customWidth="1"/>
    <col min="1290" max="1290" width="14.140625" style="248" bestFit="1" customWidth="1"/>
    <col min="1291" max="1291" width="9.7109375" style="248" customWidth="1"/>
    <col min="1292" max="1292" width="11.140625" style="248" customWidth="1"/>
    <col min="1293" max="1293" width="10.28515625" style="248" customWidth="1"/>
    <col min="1294" max="1294" width="9.28515625" style="248" bestFit="1" customWidth="1"/>
    <col min="1295" max="1536" width="9.140625" style="248"/>
    <col min="1537" max="1537" width="46.5703125" style="248" bestFit="1" customWidth="1"/>
    <col min="1538" max="1538" width="10.42578125" style="248" customWidth="1"/>
    <col min="1539" max="1539" width="13.7109375" style="248" bestFit="1" customWidth="1"/>
    <col min="1540" max="1540" width="11.85546875" style="248" customWidth="1"/>
    <col min="1541" max="1541" width="11.5703125" style="248" customWidth="1"/>
    <col min="1542" max="1542" width="14" style="248" customWidth="1"/>
    <col min="1543" max="1543" width="14.140625" style="248" customWidth="1"/>
    <col min="1544" max="1544" width="13.140625" style="248" customWidth="1"/>
    <col min="1545" max="1545" width="13" style="248" customWidth="1"/>
    <col min="1546" max="1546" width="14.140625" style="248" bestFit="1" customWidth="1"/>
    <col min="1547" max="1547" width="9.7109375" style="248" customWidth="1"/>
    <col min="1548" max="1548" width="11.140625" style="248" customWidth="1"/>
    <col min="1549" max="1549" width="10.28515625" style="248" customWidth="1"/>
    <col min="1550" max="1550" width="9.28515625" style="248" bestFit="1" customWidth="1"/>
    <col min="1551" max="1792" width="9.140625" style="248"/>
    <col min="1793" max="1793" width="46.5703125" style="248" bestFit="1" customWidth="1"/>
    <col min="1794" max="1794" width="10.42578125" style="248" customWidth="1"/>
    <col min="1795" max="1795" width="13.7109375" style="248" bestFit="1" customWidth="1"/>
    <col min="1796" max="1796" width="11.85546875" style="248" customWidth="1"/>
    <col min="1797" max="1797" width="11.5703125" style="248" customWidth="1"/>
    <col min="1798" max="1798" width="14" style="248" customWidth="1"/>
    <col min="1799" max="1799" width="14.140625" style="248" customWidth="1"/>
    <col min="1800" max="1800" width="13.140625" style="248" customWidth="1"/>
    <col min="1801" max="1801" width="13" style="248" customWidth="1"/>
    <col min="1802" max="1802" width="14.140625" style="248" bestFit="1" customWidth="1"/>
    <col min="1803" max="1803" width="9.7109375" style="248" customWidth="1"/>
    <col min="1804" max="1804" width="11.140625" style="248" customWidth="1"/>
    <col min="1805" max="1805" width="10.28515625" style="248" customWidth="1"/>
    <col min="1806" max="1806" width="9.28515625" style="248" bestFit="1" customWidth="1"/>
    <col min="1807" max="2048" width="9.140625" style="248"/>
    <col min="2049" max="2049" width="46.5703125" style="248" bestFit="1" customWidth="1"/>
    <col min="2050" max="2050" width="10.42578125" style="248" customWidth="1"/>
    <col min="2051" max="2051" width="13.7109375" style="248" bestFit="1" customWidth="1"/>
    <col min="2052" max="2052" width="11.85546875" style="248" customWidth="1"/>
    <col min="2053" max="2053" width="11.5703125" style="248" customWidth="1"/>
    <col min="2054" max="2054" width="14" style="248" customWidth="1"/>
    <col min="2055" max="2055" width="14.140625" style="248" customWidth="1"/>
    <col min="2056" max="2056" width="13.140625" style="248" customWidth="1"/>
    <col min="2057" max="2057" width="13" style="248" customWidth="1"/>
    <col min="2058" max="2058" width="14.140625" style="248" bestFit="1" customWidth="1"/>
    <col min="2059" max="2059" width="9.7109375" style="248" customWidth="1"/>
    <col min="2060" max="2060" width="11.140625" style="248" customWidth="1"/>
    <col min="2061" max="2061" width="10.28515625" style="248" customWidth="1"/>
    <col min="2062" max="2062" width="9.28515625" style="248" bestFit="1" customWidth="1"/>
    <col min="2063" max="2304" width="9.140625" style="248"/>
    <col min="2305" max="2305" width="46.5703125" style="248" bestFit="1" customWidth="1"/>
    <col min="2306" max="2306" width="10.42578125" style="248" customWidth="1"/>
    <col min="2307" max="2307" width="13.7109375" style="248" bestFit="1" customWidth="1"/>
    <col min="2308" max="2308" width="11.85546875" style="248" customWidth="1"/>
    <col min="2309" max="2309" width="11.5703125" style="248" customWidth="1"/>
    <col min="2310" max="2310" width="14" style="248" customWidth="1"/>
    <col min="2311" max="2311" width="14.140625" style="248" customWidth="1"/>
    <col min="2312" max="2312" width="13.140625" style="248" customWidth="1"/>
    <col min="2313" max="2313" width="13" style="248" customWidth="1"/>
    <col min="2314" max="2314" width="14.140625" style="248" bestFit="1" customWidth="1"/>
    <col min="2315" max="2315" width="9.7109375" style="248" customWidth="1"/>
    <col min="2316" max="2316" width="11.140625" style="248" customWidth="1"/>
    <col min="2317" max="2317" width="10.28515625" style="248" customWidth="1"/>
    <col min="2318" max="2318" width="9.28515625" style="248" bestFit="1" customWidth="1"/>
    <col min="2319" max="2560" width="9.140625" style="248"/>
    <col min="2561" max="2561" width="46.5703125" style="248" bestFit="1" customWidth="1"/>
    <col min="2562" max="2562" width="10.42578125" style="248" customWidth="1"/>
    <col min="2563" max="2563" width="13.7109375" style="248" bestFit="1" customWidth="1"/>
    <col min="2564" max="2564" width="11.85546875" style="248" customWidth="1"/>
    <col min="2565" max="2565" width="11.5703125" style="248" customWidth="1"/>
    <col min="2566" max="2566" width="14" style="248" customWidth="1"/>
    <col min="2567" max="2567" width="14.140625" style="248" customWidth="1"/>
    <col min="2568" max="2568" width="13.140625" style="248" customWidth="1"/>
    <col min="2569" max="2569" width="13" style="248" customWidth="1"/>
    <col min="2570" max="2570" width="14.140625" style="248" bestFit="1" customWidth="1"/>
    <col min="2571" max="2571" width="9.7109375" style="248" customWidth="1"/>
    <col min="2572" max="2572" width="11.140625" style="248" customWidth="1"/>
    <col min="2573" max="2573" width="10.28515625" style="248" customWidth="1"/>
    <col min="2574" max="2574" width="9.28515625" style="248" bestFit="1" customWidth="1"/>
    <col min="2575" max="2816" width="9.140625" style="248"/>
    <col min="2817" max="2817" width="46.5703125" style="248" bestFit="1" customWidth="1"/>
    <col min="2818" max="2818" width="10.42578125" style="248" customWidth="1"/>
    <col min="2819" max="2819" width="13.7109375" style="248" bestFit="1" customWidth="1"/>
    <col min="2820" max="2820" width="11.85546875" style="248" customWidth="1"/>
    <col min="2821" max="2821" width="11.5703125" style="248" customWidth="1"/>
    <col min="2822" max="2822" width="14" style="248" customWidth="1"/>
    <col min="2823" max="2823" width="14.140625" style="248" customWidth="1"/>
    <col min="2824" max="2824" width="13.140625" style="248" customWidth="1"/>
    <col min="2825" max="2825" width="13" style="248" customWidth="1"/>
    <col min="2826" max="2826" width="14.140625" style="248" bestFit="1" customWidth="1"/>
    <col min="2827" max="2827" width="9.7109375" style="248" customWidth="1"/>
    <col min="2828" max="2828" width="11.140625" style="248" customWidth="1"/>
    <col min="2829" max="2829" width="10.28515625" style="248" customWidth="1"/>
    <col min="2830" max="2830" width="9.28515625" style="248" bestFit="1" customWidth="1"/>
    <col min="2831" max="3072" width="9.140625" style="248"/>
    <col min="3073" max="3073" width="46.5703125" style="248" bestFit="1" customWidth="1"/>
    <col min="3074" max="3074" width="10.42578125" style="248" customWidth="1"/>
    <col min="3075" max="3075" width="13.7109375" style="248" bestFit="1" customWidth="1"/>
    <col min="3076" max="3076" width="11.85546875" style="248" customWidth="1"/>
    <col min="3077" max="3077" width="11.5703125" style="248" customWidth="1"/>
    <col min="3078" max="3078" width="14" style="248" customWidth="1"/>
    <col min="3079" max="3079" width="14.140625" style="248" customWidth="1"/>
    <col min="3080" max="3080" width="13.140625" style="248" customWidth="1"/>
    <col min="3081" max="3081" width="13" style="248" customWidth="1"/>
    <col min="3082" max="3082" width="14.140625" style="248" bestFit="1" customWidth="1"/>
    <col min="3083" max="3083" width="9.7109375" style="248" customWidth="1"/>
    <col min="3084" max="3084" width="11.140625" style="248" customWidth="1"/>
    <col min="3085" max="3085" width="10.28515625" style="248" customWidth="1"/>
    <col min="3086" max="3086" width="9.28515625" style="248" bestFit="1" customWidth="1"/>
    <col min="3087" max="3328" width="9.140625" style="248"/>
    <col min="3329" max="3329" width="46.5703125" style="248" bestFit="1" customWidth="1"/>
    <col min="3330" max="3330" width="10.42578125" style="248" customWidth="1"/>
    <col min="3331" max="3331" width="13.7109375" style="248" bestFit="1" customWidth="1"/>
    <col min="3332" max="3332" width="11.85546875" style="248" customWidth="1"/>
    <col min="3333" max="3333" width="11.5703125" style="248" customWidth="1"/>
    <col min="3334" max="3334" width="14" style="248" customWidth="1"/>
    <col min="3335" max="3335" width="14.140625" style="248" customWidth="1"/>
    <col min="3336" max="3336" width="13.140625" style="248" customWidth="1"/>
    <col min="3337" max="3337" width="13" style="248" customWidth="1"/>
    <col min="3338" max="3338" width="14.140625" style="248" bestFit="1" customWidth="1"/>
    <col min="3339" max="3339" width="9.7109375" style="248" customWidth="1"/>
    <col min="3340" max="3340" width="11.140625" style="248" customWidth="1"/>
    <col min="3341" max="3341" width="10.28515625" style="248" customWidth="1"/>
    <col min="3342" max="3342" width="9.28515625" style="248" bestFit="1" customWidth="1"/>
    <col min="3343" max="3584" width="9.140625" style="248"/>
    <col min="3585" max="3585" width="46.5703125" style="248" bestFit="1" customWidth="1"/>
    <col min="3586" max="3586" width="10.42578125" style="248" customWidth="1"/>
    <col min="3587" max="3587" width="13.7109375" style="248" bestFit="1" customWidth="1"/>
    <col min="3588" max="3588" width="11.85546875" style="248" customWidth="1"/>
    <col min="3589" max="3589" width="11.5703125" style="248" customWidth="1"/>
    <col min="3590" max="3590" width="14" style="248" customWidth="1"/>
    <col min="3591" max="3591" width="14.140625" style="248" customWidth="1"/>
    <col min="3592" max="3592" width="13.140625" style="248" customWidth="1"/>
    <col min="3593" max="3593" width="13" style="248" customWidth="1"/>
    <col min="3594" max="3594" width="14.140625" style="248" bestFit="1" customWidth="1"/>
    <col min="3595" max="3595" width="9.7109375" style="248" customWidth="1"/>
    <col min="3596" max="3596" width="11.140625" style="248" customWidth="1"/>
    <col min="3597" max="3597" width="10.28515625" style="248" customWidth="1"/>
    <col min="3598" max="3598" width="9.28515625" style="248" bestFit="1" customWidth="1"/>
    <col min="3599" max="3840" width="9.140625" style="248"/>
    <col min="3841" max="3841" width="46.5703125" style="248" bestFit="1" customWidth="1"/>
    <col min="3842" max="3842" width="10.42578125" style="248" customWidth="1"/>
    <col min="3843" max="3843" width="13.7109375" style="248" bestFit="1" customWidth="1"/>
    <col min="3844" max="3844" width="11.85546875" style="248" customWidth="1"/>
    <col min="3845" max="3845" width="11.5703125" style="248" customWidth="1"/>
    <col min="3846" max="3846" width="14" style="248" customWidth="1"/>
    <col min="3847" max="3847" width="14.140625" style="248" customWidth="1"/>
    <col min="3848" max="3848" width="13.140625" style="248" customWidth="1"/>
    <col min="3849" max="3849" width="13" style="248" customWidth="1"/>
    <col min="3850" max="3850" width="14.140625" style="248" bestFit="1" customWidth="1"/>
    <col min="3851" max="3851" width="9.7109375" style="248" customWidth="1"/>
    <col min="3852" max="3852" width="11.140625" style="248" customWidth="1"/>
    <col min="3853" max="3853" width="10.28515625" style="248" customWidth="1"/>
    <col min="3854" max="3854" width="9.28515625" style="248" bestFit="1" customWidth="1"/>
    <col min="3855" max="4096" width="9.140625" style="248"/>
    <col min="4097" max="4097" width="46.5703125" style="248" bestFit="1" customWidth="1"/>
    <col min="4098" max="4098" width="10.42578125" style="248" customWidth="1"/>
    <col min="4099" max="4099" width="13.7109375" style="248" bestFit="1" customWidth="1"/>
    <col min="4100" max="4100" width="11.85546875" style="248" customWidth="1"/>
    <col min="4101" max="4101" width="11.5703125" style="248" customWidth="1"/>
    <col min="4102" max="4102" width="14" style="248" customWidth="1"/>
    <col min="4103" max="4103" width="14.140625" style="248" customWidth="1"/>
    <col min="4104" max="4104" width="13.140625" style="248" customWidth="1"/>
    <col min="4105" max="4105" width="13" style="248" customWidth="1"/>
    <col min="4106" max="4106" width="14.140625" style="248" bestFit="1" customWidth="1"/>
    <col min="4107" max="4107" width="9.7109375" style="248" customWidth="1"/>
    <col min="4108" max="4108" width="11.140625" style="248" customWidth="1"/>
    <col min="4109" max="4109" width="10.28515625" style="248" customWidth="1"/>
    <col min="4110" max="4110" width="9.28515625" style="248" bestFit="1" customWidth="1"/>
    <col min="4111" max="4352" width="9.140625" style="248"/>
    <col min="4353" max="4353" width="46.5703125" style="248" bestFit="1" customWidth="1"/>
    <col min="4354" max="4354" width="10.42578125" style="248" customWidth="1"/>
    <col min="4355" max="4355" width="13.7109375" style="248" bestFit="1" customWidth="1"/>
    <col min="4356" max="4356" width="11.85546875" style="248" customWidth="1"/>
    <col min="4357" max="4357" width="11.5703125" style="248" customWidth="1"/>
    <col min="4358" max="4358" width="14" style="248" customWidth="1"/>
    <col min="4359" max="4359" width="14.140625" style="248" customWidth="1"/>
    <col min="4360" max="4360" width="13.140625" style="248" customWidth="1"/>
    <col min="4361" max="4361" width="13" style="248" customWidth="1"/>
    <col min="4362" max="4362" width="14.140625" style="248" bestFit="1" customWidth="1"/>
    <col min="4363" max="4363" width="9.7109375" style="248" customWidth="1"/>
    <col min="4364" max="4364" width="11.140625" style="248" customWidth="1"/>
    <col min="4365" max="4365" width="10.28515625" style="248" customWidth="1"/>
    <col min="4366" max="4366" width="9.28515625" style="248" bestFit="1" customWidth="1"/>
    <col min="4367" max="4608" width="9.140625" style="248"/>
    <col min="4609" max="4609" width="46.5703125" style="248" bestFit="1" customWidth="1"/>
    <col min="4610" max="4610" width="10.42578125" style="248" customWidth="1"/>
    <col min="4611" max="4611" width="13.7109375" style="248" bestFit="1" customWidth="1"/>
    <col min="4612" max="4612" width="11.85546875" style="248" customWidth="1"/>
    <col min="4613" max="4613" width="11.5703125" style="248" customWidth="1"/>
    <col min="4614" max="4614" width="14" style="248" customWidth="1"/>
    <col min="4615" max="4615" width="14.140625" style="248" customWidth="1"/>
    <col min="4616" max="4616" width="13.140625" style="248" customWidth="1"/>
    <col min="4617" max="4617" width="13" style="248" customWidth="1"/>
    <col min="4618" max="4618" width="14.140625" style="248" bestFit="1" customWidth="1"/>
    <col min="4619" max="4619" width="9.7109375" style="248" customWidth="1"/>
    <col min="4620" max="4620" width="11.140625" style="248" customWidth="1"/>
    <col min="4621" max="4621" width="10.28515625" style="248" customWidth="1"/>
    <col min="4622" max="4622" width="9.28515625" style="248" bestFit="1" customWidth="1"/>
    <col min="4623" max="4864" width="9.140625" style="248"/>
    <col min="4865" max="4865" width="46.5703125" style="248" bestFit="1" customWidth="1"/>
    <col min="4866" max="4866" width="10.42578125" style="248" customWidth="1"/>
    <col min="4867" max="4867" width="13.7109375" style="248" bestFit="1" customWidth="1"/>
    <col min="4868" max="4868" width="11.85546875" style="248" customWidth="1"/>
    <col min="4869" max="4869" width="11.5703125" style="248" customWidth="1"/>
    <col min="4870" max="4870" width="14" style="248" customWidth="1"/>
    <col min="4871" max="4871" width="14.140625" style="248" customWidth="1"/>
    <col min="4872" max="4872" width="13.140625" style="248" customWidth="1"/>
    <col min="4873" max="4873" width="13" style="248" customWidth="1"/>
    <col min="4874" max="4874" width="14.140625" style="248" bestFit="1" customWidth="1"/>
    <col min="4875" max="4875" width="9.7109375" style="248" customWidth="1"/>
    <col min="4876" max="4876" width="11.140625" style="248" customWidth="1"/>
    <col min="4877" max="4877" width="10.28515625" style="248" customWidth="1"/>
    <col min="4878" max="4878" width="9.28515625" style="248" bestFit="1" customWidth="1"/>
    <col min="4879" max="5120" width="9.140625" style="248"/>
    <col min="5121" max="5121" width="46.5703125" style="248" bestFit="1" customWidth="1"/>
    <col min="5122" max="5122" width="10.42578125" style="248" customWidth="1"/>
    <col min="5123" max="5123" width="13.7109375" style="248" bestFit="1" customWidth="1"/>
    <col min="5124" max="5124" width="11.85546875" style="248" customWidth="1"/>
    <col min="5125" max="5125" width="11.5703125" style="248" customWidth="1"/>
    <col min="5126" max="5126" width="14" style="248" customWidth="1"/>
    <col min="5127" max="5127" width="14.140625" style="248" customWidth="1"/>
    <col min="5128" max="5128" width="13.140625" style="248" customWidth="1"/>
    <col min="5129" max="5129" width="13" style="248" customWidth="1"/>
    <col min="5130" max="5130" width="14.140625" style="248" bestFit="1" customWidth="1"/>
    <col min="5131" max="5131" width="9.7109375" style="248" customWidth="1"/>
    <col min="5132" max="5132" width="11.140625" style="248" customWidth="1"/>
    <col min="5133" max="5133" width="10.28515625" style="248" customWidth="1"/>
    <col min="5134" max="5134" width="9.28515625" style="248" bestFit="1" customWidth="1"/>
    <col min="5135" max="5376" width="9.140625" style="248"/>
    <col min="5377" max="5377" width="46.5703125" style="248" bestFit="1" customWidth="1"/>
    <col min="5378" max="5378" width="10.42578125" style="248" customWidth="1"/>
    <col min="5379" max="5379" width="13.7109375" style="248" bestFit="1" customWidth="1"/>
    <col min="5380" max="5380" width="11.85546875" style="248" customWidth="1"/>
    <col min="5381" max="5381" width="11.5703125" style="248" customWidth="1"/>
    <col min="5382" max="5382" width="14" style="248" customWidth="1"/>
    <col min="5383" max="5383" width="14.140625" style="248" customWidth="1"/>
    <col min="5384" max="5384" width="13.140625" style="248" customWidth="1"/>
    <col min="5385" max="5385" width="13" style="248" customWidth="1"/>
    <col min="5386" max="5386" width="14.140625" style="248" bestFit="1" customWidth="1"/>
    <col min="5387" max="5387" width="9.7109375" style="248" customWidth="1"/>
    <col min="5388" max="5388" width="11.140625" style="248" customWidth="1"/>
    <col min="5389" max="5389" width="10.28515625" style="248" customWidth="1"/>
    <col min="5390" max="5390" width="9.28515625" style="248" bestFit="1" customWidth="1"/>
    <col min="5391" max="5632" width="9.140625" style="248"/>
    <col min="5633" max="5633" width="46.5703125" style="248" bestFit="1" customWidth="1"/>
    <col min="5634" max="5634" width="10.42578125" style="248" customWidth="1"/>
    <col min="5635" max="5635" width="13.7109375" style="248" bestFit="1" customWidth="1"/>
    <col min="5636" max="5636" width="11.85546875" style="248" customWidth="1"/>
    <col min="5637" max="5637" width="11.5703125" style="248" customWidth="1"/>
    <col min="5638" max="5638" width="14" style="248" customWidth="1"/>
    <col min="5639" max="5639" width="14.140625" style="248" customWidth="1"/>
    <col min="5640" max="5640" width="13.140625" style="248" customWidth="1"/>
    <col min="5641" max="5641" width="13" style="248" customWidth="1"/>
    <col min="5642" max="5642" width="14.140625" style="248" bestFit="1" customWidth="1"/>
    <col min="5643" max="5643" width="9.7109375" style="248" customWidth="1"/>
    <col min="5644" max="5644" width="11.140625" style="248" customWidth="1"/>
    <col min="5645" max="5645" width="10.28515625" style="248" customWidth="1"/>
    <col min="5646" max="5646" width="9.28515625" style="248" bestFit="1" customWidth="1"/>
    <col min="5647" max="5888" width="9.140625" style="248"/>
    <col min="5889" max="5889" width="46.5703125" style="248" bestFit="1" customWidth="1"/>
    <col min="5890" max="5890" width="10.42578125" style="248" customWidth="1"/>
    <col min="5891" max="5891" width="13.7109375" style="248" bestFit="1" customWidth="1"/>
    <col min="5892" max="5892" width="11.85546875" style="248" customWidth="1"/>
    <col min="5893" max="5893" width="11.5703125" style="248" customWidth="1"/>
    <col min="5894" max="5894" width="14" style="248" customWidth="1"/>
    <col min="5895" max="5895" width="14.140625" style="248" customWidth="1"/>
    <col min="5896" max="5896" width="13.140625" style="248" customWidth="1"/>
    <col min="5897" max="5897" width="13" style="248" customWidth="1"/>
    <col min="5898" max="5898" width="14.140625" style="248" bestFit="1" customWidth="1"/>
    <col min="5899" max="5899" width="9.7109375" style="248" customWidth="1"/>
    <col min="5900" max="5900" width="11.140625" style="248" customWidth="1"/>
    <col min="5901" max="5901" width="10.28515625" style="248" customWidth="1"/>
    <col min="5902" max="5902" width="9.28515625" style="248" bestFit="1" customWidth="1"/>
    <col min="5903" max="6144" width="9.140625" style="248"/>
    <col min="6145" max="6145" width="46.5703125" style="248" bestFit="1" customWidth="1"/>
    <col min="6146" max="6146" width="10.42578125" style="248" customWidth="1"/>
    <col min="6147" max="6147" width="13.7109375" style="248" bestFit="1" customWidth="1"/>
    <col min="6148" max="6148" width="11.85546875" style="248" customWidth="1"/>
    <col min="6149" max="6149" width="11.5703125" style="248" customWidth="1"/>
    <col min="6150" max="6150" width="14" style="248" customWidth="1"/>
    <col min="6151" max="6151" width="14.140625" style="248" customWidth="1"/>
    <col min="6152" max="6152" width="13.140625" style="248" customWidth="1"/>
    <col min="6153" max="6153" width="13" style="248" customWidth="1"/>
    <col min="6154" max="6154" width="14.140625" style="248" bestFit="1" customWidth="1"/>
    <col min="6155" max="6155" width="9.7109375" style="248" customWidth="1"/>
    <col min="6156" max="6156" width="11.140625" style="248" customWidth="1"/>
    <col min="6157" max="6157" width="10.28515625" style="248" customWidth="1"/>
    <col min="6158" max="6158" width="9.28515625" style="248" bestFit="1" customWidth="1"/>
    <col min="6159" max="6400" width="9.140625" style="248"/>
    <col min="6401" max="6401" width="46.5703125" style="248" bestFit="1" customWidth="1"/>
    <col min="6402" max="6402" width="10.42578125" style="248" customWidth="1"/>
    <col min="6403" max="6403" width="13.7109375" style="248" bestFit="1" customWidth="1"/>
    <col min="6404" max="6404" width="11.85546875" style="248" customWidth="1"/>
    <col min="6405" max="6405" width="11.5703125" style="248" customWidth="1"/>
    <col min="6406" max="6406" width="14" style="248" customWidth="1"/>
    <col min="6407" max="6407" width="14.140625" style="248" customWidth="1"/>
    <col min="6408" max="6408" width="13.140625" style="248" customWidth="1"/>
    <col min="6409" max="6409" width="13" style="248" customWidth="1"/>
    <col min="6410" max="6410" width="14.140625" style="248" bestFit="1" customWidth="1"/>
    <col min="6411" max="6411" width="9.7109375" style="248" customWidth="1"/>
    <col min="6412" max="6412" width="11.140625" style="248" customWidth="1"/>
    <col min="6413" max="6413" width="10.28515625" style="248" customWidth="1"/>
    <col min="6414" max="6414" width="9.28515625" style="248" bestFit="1" customWidth="1"/>
    <col min="6415" max="6656" width="9.140625" style="248"/>
    <col min="6657" max="6657" width="46.5703125" style="248" bestFit="1" customWidth="1"/>
    <col min="6658" max="6658" width="10.42578125" style="248" customWidth="1"/>
    <col min="6659" max="6659" width="13.7109375" style="248" bestFit="1" customWidth="1"/>
    <col min="6660" max="6660" width="11.85546875" style="248" customWidth="1"/>
    <col min="6661" max="6661" width="11.5703125" style="248" customWidth="1"/>
    <col min="6662" max="6662" width="14" style="248" customWidth="1"/>
    <col min="6663" max="6663" width="14.140625" style="248" customWidth="1"/>
    <col min="6664" max="6664" width="13.140625" style="248" customWidth="1"/>
    <col min="6665" max="6665" width="13" style="248" customWidth="1"/>
    <col min="6666" max="6666" width="14.140625" style="248" bestFit="1" customWidth="1"/>
    <col min="6667" max="6667" width="9.7109375" style="248" customWidth="1"/>
    <col min="6668" max="6668" width="11.140625" style="248" customWidth="1"/>
    <col min="6669" max="6669" width="10.28515625" style="248" customWidth="1"/>
    <col min="6670" max="6670" width="9.28515625" style="248" bestFit="1" customWidth="1"/>
    <col min="6671" max="6912" width="9.140625" style="248"/>
    <col min="6913" max="6913" width="46.5703125" style="248" bestFit="1" customWidth="1"/>
    <col min="6914" max="6914" width="10.42578125" style="248" customWidth="1"/>
    <col min="6915" max="6915" width="13.7109375" style="248" bestFit="1" customWidth="1"/>
    <col min="6916" max="6916" width="11.85546875" style="248" customWidth="1"/>
    <col min="6917" max="6917" width="11.5703125" style="248" customWidth="1"/>
    <col min="6918" max="6918" width="14" style="248" customWidth="1"/>
    <col min="6919" max="6919" width="14.140625" style="248" customWidth="1"/>
    <col min="6920" max="6920" width="13.140625" style="248" customWidth="1"/>
    <col min="6921" max="6921" width="13" style="248" customWidth="1"/>
    <col min="6922" max="6922" width="14.140625" style="248" bestFit="1" customWidth="1"/>
    <col min="6923" max="6923" width="9.7109375" style="248" customWidth="1"/>
    <col min="6924" max="6924" width="11.140625" style="248" customWidth="1"/>
    <col min="6925" max="6925" width="10.28515625" style="248" customWidth="1"/>
    <col min="6926" max="6926" width="9.28515625" style="248" bestFit="1" customWidth="1"/>
    <col min="6927" max="7168" width="9.140625" style="248"/>
    <col min="7169" max="7169" width="46.5703125" style="248" bestFit="1" customWidth="1"/>
    <col min="7170" max="7170" width="10.42578125" style="248" customWidth="1"/>
    <col min="7171" max="7171" width="13.7109375" style="248" bestFit="1" customWidth="1"/>
    <col min="7172" max="7172" width="11.85546875" style="248" customWidth="1"/>
    <col min="7173" max="7173" width="11.5703125" style="248" customWidth="1"/>
    <col min="7174" max="7174" width="14" style="248" customWidth="1"/>
    <col min="7175" max="7175" width="14.140625" style="248" customWidth="1"/>
    <col min="7176" max="7176" width="13.140625" style="248" customWidth="1"/>
    <col min="7177" max="7177" width="13" style="248" customWidth="1"/>
    <col min="7178" max="7178" width="14.140625" style="248" bestFit="1" customWidth="1"/>
    <col min="7179" max="7179" width="9.7109375" style="248" customWidth="1"/>
    <col min="7180" max="7180" width="11.140625" style="248" customWidth="1"/>
    <col min="7181" max="7181" width="10.28515625" style="248" customWidth="1"/>
    <col min="7182" max="7182" width="9.28515625" style="248" bestFit="1" customWidth="1"/>
    <col min="7183" max="7424" width="9.140625" style="248"/>
    <col min="7425" max="7425" width="46.5703125" style="248" bestFit="1" customWidth="1"/>
    <col min="7426" max="7426" width="10.42578125" style="248" customWidth="1"/>
    <col min="7427" max="7427" width="13.7109375" style="248" bestFit="1" customWidth="1"/>
    <col min="7428" max="7428" width="11.85546875" style="248" customWidth="1"/>
    <col min="7429" max="7429" width="11.5703125" style="248" customWidth="1"/>
    <col min="7430" max="7430" width="14" style="248" customWidth="1"/>
    <col min="7431" max="7431" width="14.140625" style="248" customWidth="1"/>
    <col min="7432" max="7432" width="13.140625" style="248" customWidth="1"/>
    <col min="7433" max="7433" width="13" style="248" customWidth="1"/>
    <col min="7434" max="7434" width="14.140625" style="248" bestFit="1" customWidth="1"/>
    <col min="7435" max="7435" width="9.7109375" style="248" customWidth="1"/>
    <col min="7436" max="7436" width="11.140625" style="248" customWidth="1"/>
    <col min="7437" max="7437" width="10.28515625" style="248" customWidth="1"/>
    <col min="7438" max="7438" width="9.28515625" style="248" bestFit="1" customWidth="1"/>
    <col min="7439" max="7680" width="9.140625" style="248"/>
    <col min="7681" max="7681" width="46.5703125" style="248" bestFit="1" customWidth="1"/>
    <col min="7682" max="7682" width="10.42578125" style="248" customWidth="1"/>
    <col min="7683" max="7683" width="13.7109375" style="248" bestFit="1" customWidth="1"/>
    <col min="7684" max="7684" width="11.85546875" style="248" customWidth="1"/>
    <col min="7685" max="7685" width="11.5703125" style="248" customWidth="1"/>
    <col min="7686" max="7686" width="14" style="248" customWidth="1"/>
    <col min="7687" max="7687" width="14.140625" style="248" customWidth="1"/>
    <col min="7688" max="7688" width="13.140625" style="248" customWidth="1"/>
    <col min="7689" max="7689" width="13" style="248" customWidth="1"/>
    <col min="7690" max="7690" width="14.140625" style="248" bestFit="1" customWidth="1"/>
    <col min="7691" max="7691" width="9.7109375" style="248" customWidth="1"/>
    <col min="7692" max="7692" width="11.140625" style="248" customWidth="1"/>
    <col min="7693" max="7693" width="10.28515625" style="248" customWidth="1"/>
    <col min="7694" max="7694" width="9.28515625" style="248" bestFit="1" customWidth="1"/>
    <col min="7695" max="7936" width="9.140625" style="248"/>
    <col min="7937" max="7937" width="46.5703125" style="248" bestFit="1" customWidth="1"/>
    <col min="7938" max="7938" width="10.42578125" style="248" customWidth="1"/>
    <col min="7939" max="7939" width="13.7109375" style="248" bestFit="1" customWidth="1"/>
    <col min="7940" max="7940" width="11.85546875" style="248" customWidth="1"/>
    <col min="7941" max="7941" width="11.5703125" style="248" customWidth="1"/>
    <col min="7942" max="7942" width="14" style="248" customWidth="1"/>
    <col min="7943" max="7943" width="14.140625" style="248" customWidth="1"/>
    <col min="7944" max="7944" width="13.140625" style="248" customWidth="1"/>
    <col min="7945" max="7945" width="13" style="248" customWidth="1"/>
    <col min="7946" max="7946" width="14.140625" style="248" bestFit="1" customWidth="1"/>
    <col min="7947" max="7947" width="9.7109375" style="248" customWidth="1"/>
    <col min="7948" max="7948" width="11.140625" style="248" customWidth="1"/>
    <col min="7949" max="7949" width="10.28515625" style="248" customWidth="1"/>
    <col min="7950" max="7950" width="9.28515625" style="248" bestFit="1" customWidth="1"/>
    <col min="7951" max="8192" width="9.140625" style="248"/>
    <col min="8193" max="8193" width="46.5703125" style="248" bestFit="1" customWidth="1"/>
    <col min="8194" max="8194" width="10.42578125" style="248" customWidth="1"/>
    <col min="8195" max="8195" width="13.7109375" style="248" bestFit="1" customWidth="1"/>
    <col min="8196" max="8196" width="11.85546875" style="248" customWidth="1"/>
    <col min="8197" max="8197" width="11.5703125" style="248" customWidth="1"/>
    <col min="8198" max="8198" width="14" style="248" customWidth="1"/>
    <col min="8199" max="8199" width="14.140625" style="248" customWidth="1"/>
    <col min="8200" max="8200" width="13.140625" style="248" customWidth="1"/>
    <col min="8201" max="8201" width="13" style="248" customWidth="1"/>
    <col min="8202" max="8202" width="14.140625" style="248" bestFit="1" customWidth="1"/>
    <col min="8203" max="8203" width="9.7109375" style="248" customWidth="1"/>
    <col min="8204" max="8204" width="11.140625" style="248" customWidth="1"/>
    <col min="8205" max="8205" width="10.28515625" style="248" customWidth="1"/>
    <col min="8206" max="8206" width="9.28515625" style="248" bestFit="1" customWidth="1"/>
    <col min="8207" max="8448" width="9.140625" style="248"/>
    <col min="8449" max="8449" width="46.5703125" style="248" bestFit="1" customWidth="1"/>
    <col min="8450" max="8450" width="10.42578125" style="248" customWidth="1"/>
    <col min="8451" max="8451" width="13.7109375" style="248" bestFit="1" customWidth="1"/>
    <col min="8452" max="8452" width="11.85546875" style="248" customWidth="1"/>
    <col min="8453" max="8453" width="11.5703125" style="248" customWidth="1"/>
    <col min="8454" max="8454" width="14" style="248" customWidth="1"/>
    <col min="8455" max="8455" width="14.140625" style="248" customWidth="1"/>
    <col min="8456" max="8456" width="13.140625" style="248" customWidth="1"/>
    <col min="8457" max="8457" width="13" style="248" customWidth="1"/>
    <col min="8458" max="8458" width="14.140625" style="248" bestFit="1" customWidth="1"/>
    <col min="8459" max="8459" width="9.7109375" style="248" customWidth="1"/>
    <col min="8460" max="8460" width="11.140625" style="248" customWidth="1"/>
    <col min="8461" max="8461" width="10.28515625" style="248" customWidth="1"/>
    <col min="8462" max="8462" width="9.28515625" style="248" bestFit="1" customWidth="1"/>
    <col min="8463" max="8704" width="9.140625" style="248"/>
    <col min="8705" max="8705" width="46.5703125" style="248" bestFit="1" customWidth="1"/>
    <col min="8706" max="8706" width="10.42578125" style="248" customWidth="1"/>
    <col min="8707" max="8707" width="13.7109375" style="248" bestFit="1" customWidth="1"/>
    <col min="8708" max="8708" width="11.85546875" style="248" customWidth="1"/>
    <col min="8709" max="8709" width="11.5703125" style="248" customWidth="1"/>
    <col min="8710" max="8710" width="14" style="248" customWidth="1"/>
    <col min="8711" max="8711" width="14.140625" style="248" customWidth="1"/>
    <col min="8712" max="8712" width="13.140625" style="248" customWidth="1"/>
    <col min="8713" max="8713" width="13" style="248" customWidth="1"/>
    <col min="8714" max="8714" width="14.140625" style="248" bestFit="1" customWidth="1"/>
    <col min="8715" max="8715" width="9.7109375" style="248" customWidth="1"/>
    <col min="8716" max="8716" width="11.140625" style="248" customWidth="1"/>
    <col min="8717" max="8717" width="10.28515625" style="248" customWidth="1"/>
    <col min="8718" max="8718" width="9.28515625" style="248" bestFit="1" customWidth="1"/>
    <col min="8719" max="8960" width="9.140625" style="248"/>
    <col min="8961" max="8961" width="46.5703125" style="248" bestFit="1" customWidth="1"/>
    <col min="8962" max="8962" width="10.42578125" style="248" customWidth="1"/>
    <col min="8963" max="8963" width="13.7109375" style="248" bestFit="1" customWidth="1"/>
    <col min="8964" max="8964" width="11.85546875" style="248" customWidth="1"/>
    <col min="8965" max="8965" width="11.5703125" style="248" customWidth="1"/>
    <col min="8966" max="8966" width="14" style="248" customWidth="1"/>
    <col min="8967" max="8967" width="14.140625" style="248" customWidth="1"/>
    <col min="8968" max="8968" width="13.140625" style="248" customWidth="1"/>
    <col min="8969" max="8969" width="13" style="248" customWidth="1"/>
    <col min="8970" max="8970" width="14.140625" style="248" bestFit="1" customWidth="1"/>
    <col min="8971" max="8971" width="9.7109375" style="248" customWidth="1"/>
    <col min="8972" max="8972" width="11.140625" style="248" customWidth="1"/>
    <col min="8973" max="8973" width="10.28515625" style="248" customWidth="1"/>
    <col min="8974" max="8974" width="9.28515625" style="248" bestFit="1" customWidth="1"/>
    <col min="8975" max="9216" width="9.140625" style="248"/>
    <col min="9217" max="9217" width="46.5703125" style="248" bestFit="1" customWidth="1"/>
    <col min="9218" max="9218" width="10.42578125" style="248" customWidth="1"/>
    <col min="9219" max="9219" width="13.7109375" style="248" bestFit="1" customWidth="1"/>
    <col min="9220" max="9220" width="11.85546875" style="248" customWidth="1"/>
    <col min="9221" max="9221" width="11.5703125" style="248" customWidth="1"/>
    <col min="9222" max="9222" width="14" style="248" customWidth="1"/>
    <col min="9223" max="9223" width="14.140625" style="248" customWidth="1"/>
    <col min="9224" max="9224" width="13.140625" style="248" customWidth="1"/>
    <col min="9225" max="9225" width="13" style="248" customWidth="1"/>
    <col min="9226" max="9226" width="14.140625" style="248" bestFit="1" customWidth="1"/>
    <col min="9227" max="9227" width="9.7109375" style="248" customWidth="1"/>
    <col min="9228" max="9228" width="11.140625" style="248" customWidth="1"/>
    <col min="9229" max="9229" width="10.28515625" style="248" customWidth="1"/>
    <col min="9230" max="9230" width="9.28515625" style="248" bestFit="1" customWidth="1"/>
    <col min="9231" max="9472" width="9.140625" style="248"/>
    <col min="9473" max="9473" width="46.5703125" style="248" bestFit="1" customWidth="1"/>
    <col min="9474" max="9474" width="10.42578125" style="248" customWidth="1"/>
    <col min="9475" max="9475" width="13.7109375" style="248" bestFit="1" customWidth="1"/>
    <col min="9476" max="9476" width="11.85546875" style="248" customWidth="1"/>
    <col min="9477" max="9477" width="11.5703125" style="248" customWidth="1"/>
    <col min="9478" max="9478" width="14" style="248" customWidth="1"/>
    <col min="9479" max="9479" width="14.140625" style="248" customWidth="1"/>
    <col min="9480" max="9480" width="13.140625" style="248" customWidth="1"/>
    <col min="9481" max="9481" width="13" style="248" customWidth="1"/>
    <col min="9482" max="9482" width="14.140625" style="248" bestFit="1" customWidth="1"/>
    <col min="9483" max="9483" width="9.7109375" style="248" customWidth="1"/>
    <col min="9484" max="9484" width="11.140625" style="248" customWidth="1"/>
    <col min="9485" max="9485" width="10.28515625" style="248" customWidth="1"/>
    <col min="9486" max="9486" width="9.28515625" style="248" bestFit="1" customWidth="1"/>
    <col min="9487" max="9728" width="9.140625" style="248"/>
    <col min="9729" max="9729" width="46.5703125" style="248" bestFit="1" customWidth="1"/>
    <col min="9730" max="9730" width="10.42578125" style="248" customWidth="1"/>
    <col min="9731" max="9731" width="13.7109375" style="248" bestFit="1" customWidth="1"/>
    <col min="9732" max="9732" width="11.85546875" style="248" customWidth="1"/>
    <col min="9733" max="9733" width="11.5703125" style="248" customWidth="1"/>
    <col min="9734" max="9734" width="14" style="248" customWidth="1"/>
    <col min="9735" max="9735" width="14.140625" style="248" customWidth="1"/>
    <col min="9736" max="9736" width="13.140625" style="248" customWidth="1"/>
    <col min="9737" max="9737" width="13" style="248" customWidth="1"/>
    <col min="9738" max="9738" width="14.140625" style="248" bestFit="1" customWidth="1"/>
    <col min="9739" max="9739" width="9.7109375" style="248" customWidth="1"/>
    <col min="9740" max="9740" width="11.140625" style="248" customWidth="1"/>
    <col min="9741" max="9741" width="10.28515625" style="248" customWidth="1"/>
    <col min="9742" max="9742" width="9.28515625" style="248" bestFit="1" customWidth="1"/>
    <col min="9743" max="9984" width="9.140625" style="248"/>
    <col min="9985" max="9985" width="46.5703125" style="248" bestFit="1" customWidth="1"/>
    <col min="9986" max="9986" width="10.42578125" style="248" customWidth="1"/>
    <col min="9987" max="9987" width="13.7109375" style="248" bestFit="1" customWidth="1"/>
    <col min="9988" max="9988" width="11.85546875" style="248" customWidth="1"/>
    <col min="9989" max="9989" width="11.5703125" style="248" customWidth="1"/>
    <col min="9990" max="9990" width="14" style="248" customWidth="1"/>
    <col min="9991" max="9991" width="14.140625" style="248" customWidth="1"/>
    <col min="9992" max="9992" width="13.140625" style="248" customWidth="1"/>
    <col min="9993" max="9993" width="13" style="248" customWidth="1"/>
    <col min="9994" max="9994" width="14.140625" style="248" bestFit="1" customWidth="1"/>
    <col min="9995" max="9995" width="9.7109375" style="248" customWidth="1"/>
    <col min="9996" max="9996" width="11.140625" style="248" customWidth="1"/>
    <col min="9997" max="9997" width="10.28515625" style="248" customWidth="1"/>
    <col min="9998" max="9998" width="9.28515625" style="248" bestFit="1" customWidth="1"/>
    <col min="9999" max="10240" width="9.140625" style="248"/>
    <col min="10241" max="10241" width="46.5703125" style="248" bestFit="1" customWidth="1"/>
    <col min="10242" max="10242" width="10.42578125" style="248" customWidth="1"/>
    <col min="10243" max="10243" width="13.7109375" style="248" bestFit="1" customWidth="1"/>
    <col min="10244" max="10244" width="11.85546875" style="248" customWidth="1"/>
    <col min="10245" max="10245" width="11.5703125" style="248" customWidth="1"/>
    <col min="10246" max="10246" width="14" style="248" customWidth="1"/>
    <col min="10247" max="10247" width="14.140625" style="248" customWidth="1"/>
    <col min="10248" max="10248" width="13.140625" style="248" customWidth="1"/>
    <col min="10249" max="10249" width="13" style="248" customWidth="1"/>
    <col min="10250" max="10250" width="14.140625" style="248" bestFit="1" customWidth="1"/>
    <col min="10251" max="10251" width="9.7109375" style="248" customWidth="1"/>
    <col min="10252" max="10252" width="11.140625" style="248" customWidth="1"/>
    <col min="10253" max="10253" width="10.28515625" style="248" customWidth="1"/>
    <col min="10254" max="10254" width="9.28515625" style="248" bestFit="1" customWidth="1"/>
    <col min="10255" max="10496" width="9.140625" style="248"/>
    <col min="10497" max="10497" width="46.5703125" style="248" bestFit="1" customWidth="1"/>
    <col min="10498" max="10498" width="10.42578125" style="248" customWidth="1"/>
    <col min="10499" max="10499" width="13.7109375" style="248" bestFit="1" customWidth="1"/>
    <col min="10500" max="10500" width="11.85546875" style="248" customWidth="1"/>
    <col min="10501" max="10501" width="11.5703125" style="248" customWidth="1"/>
    <col min="10502" max="10502" width="14" style="248" customWidth="1"/>
    <col min="10503" max="10503" width="14.140625" style="248" customWidth="1"/>
    <col min="10504" max="10504" width="13.140625" style="248" customWidth="1"/>
    <col min="10505" max="10505" width="13" style="248" customWidth="1"/>
    <col min="10506" max="10506" width="14.140625" style="248" bestFit="1" customWidth="1"/>
    <col min="10507" max="10507" width="9.7109375" style="248" customWidth="1"/>
    <col min="10508" max="10508" width="11.140625" style="248" customWidth="1"/>
    <col min="10509" max="10509" width="10.28515625" style="248" customWidth="1"/>
    <col min="10510" max="10510" width="9.28515625" style="248" bestFit="1" customWidth="1"/>
    <col min="10511" max="10752" width="9.140625" style="248"/>
    <col min="10753" max="10753" width="46.5703125" style="248" bestFit="1" customWidth="1"/>
    <col min="10754" max="10754" width="10.42578125" style="248" customWidth="1"/>
    <col min="10755" max="10755" width="13.7109375" style="248" bestFit="1" customWidth="1"/>
    <col min="10756" max="10756" width="11.85546875" style="248" customWidth="1"/>
    <col min="10757" max="10757" width="11.5703125" style="248" customWidth="1"/>
    <col min="10758" max="10758" width="14" style="248" customWidth="1"/>
    <col min="10759" max="10759" width="14.140625" style="248" customWidth="1"/>
    <col min="10760" max="10760" width="13.140625" style="248" customWidth="1"/>
    <col min="10761" max="10761" width="13" style="248" customWidth="1"/>
    <col min="10762" max="10762" width="14.140625" style="248" bestFit="1" customWidth="1"/>
    <col min="10763" max="10763" width="9.7109375" style="248" customWidth="1"/>
    <col min="10764" max="10764" width="11.140625" style="248" customWidth="1"/>
    <col min="10765" max="10765" width="10.28515625" style="248" customWidth="1"/>
    <col min="10766" max="10766" width="9.28515625" style="248" bestFit="1" customWidth="1"/>
    <col min="10767" max="11008" width="9.140625" style="248"/>
    <col min="11009" max="11009" width="46.5703125" style="248" bestFit="1" customWidth="1"/>
    <col min="11010" max="11010" width="10.42578125" style="248" customWidth="1"/>
    <col min="11011" max="11011" width="13.7109375" style="248" bestFit="1" customWidth="1"/>
    <col min="11012" max="11012" width="11.85546875" style="248" customWidth="1"/>
    <col min="11013" max="11013" width="11.5703125" style="248" customWidth="1"/>
    <col min="11014" max="11014" width="14" style="248" customWidth="1"/>
    <col min="11015" max="11015" width="14.140625" style="248" customWidth="1"/>
    <col min="11016" max="11016" width="13.140625" style="248" customWidth="1"/>
    <col min="11017" max="11017" width="13" style="248" customWidth="1"/>
    <col min="11018" max="11018" width="14.140625" style="248" bestFit="1" customWidth="1"/>
    <col min="11019" max="11019" width="9.7109375" style="248" customWidth="1"/>
    <col min="11020" max="11020" width="11.140625" style="248" customWidth="1"/>
    <col min="11021" max="11021" width="10.28515625" style="248" customWidth="1"/>
    <col min="11022" max="11022" width="9.28515625" style="248" bestFit="1" customWidth="1"/>
    <col min="11023" max="11264" width="9.140625" style="248"/>
    <col min="11265" max="11265" width="46.5703125" style="248" bestFit="1" customWidth="1"/>
    <col min="11266" max="11266" width="10.42578125" style="248" customWidth="1"/>
    <col min="11267" max="11267" width="13.7109375" style="248" bestFit="1" customWidth="1"/>
    <col min="11268" max="11268" width="11.85546875" style="248" customWidth="1"/>
    <col min="11269" max="11269" width="11.5703125" style="248" customWidth="1"/>
    <col min="11270" max="11270" width="14" style="248" customWidth="1"/>
    <col min="11271" max="11271" width="14.140625" style="248" customWidth="1"/>
    <col min="11272" max="11272" width="13.140625" style="248" customWidth="1"/>
    <col min="11273" max="11273" width="13" style="248" customWidth="1"/>
    <col min="11274" max="11274" width="14.140625" style="248" bestFit="1" customWidth="1"/>
    <col min="11275" max="11275" width="9.7109375" style="248" customWidth="1"/>
    <col min="11276" max="11276" width="11.140625" style="248" customWidth="1"/>
    <col min="11277" max="11277" width="10.28515625" style="248" customWidth="1"/>
    <col min="11278" max="11278" width="9.28515625" style="248" bestFit="1" customWidth="1"/>
    <col min="11279" max="11520" width="9.140625" style="248"/>
    <col min="11521" max="11521" width="46.5703125" style="248" bestFit="1" customWidth="1"/>
    <col min="11522" max="11522" width="10.42578125" style="248" customWidth="1"/>
    <col min="11523" max="11523" width="13.7109375" style="248" bestFit="1" customWidth="1"/>
    <col min="11524" max="11524" width="11.85546875" style="248" customWidth="1"/>
    <col min="11525" max="11525" width="11.5703125" style="248" customWidth="1"/>
    <col min="11526" max="11526" width="14" style="248" customWidth="1"/>
    <col min="11527" max="11527" width="14.140625" style="248" customWidth="1"/>
    <col min="11528" max="11528" width="13.140625" style="248" customWidth="1"/>
    <col min="11529" max="11529" width="13" style="248" customWidth="1"/>
    <col min="11530" max="11530" width="14.140625" style="248" bestFit="1" customWidth="1"/>
    <col min="11531" max="11531" width="9.7109375" style="248" customWidth="1"/>
    <col min="11532" max="11532" width="11.140625" style="248" customWidth="1"/>
    <col min="11533" max="11533" width="10.28515625" style="248" customWidth="1"/>
    <col min="11534" max="11534" width="9.28515625" style="248" bestFit="1" customWidth="1"/>
    <col min="11535" max="11776" width="9.140625" style="248"/>
    <col min="11777" max="11777" width="46.5703125" style="248" bestFit="1" customWidth="1"/>
    <col min="11778" max="11778" width="10.42578125" style="248" customWidth="1"/>
    <col min="11779" max="11779" width="13.7109375" style="248" bestFit="1" customWidth="1"/>
    <col min="11780" max="11780" width="11.85546875" style="248" customWidth="1"/>
    <col min="11781" max="11781" width="11.5703125" style="248" customWidth="1"/>
    <col min="11782" max="11782" width="14" style="248" customWidth="1"/>
    <col min="11783" max="11783" width="14.140625" style="248" customWidth="1"/>
    <col min="11784" max="11784" width="13.140625" style="248" customWidth="1"/>
    <col min="11785" max="11785" width="13" style="248" customWidth="1"/>
    <col min="11786" max="11786" width="14.140625" style="248" bestFit="1" customWidth="1"/>
    <col min="11787" max="11787" width="9.7109375" style="248" customWidth="1"/>
    <col min="11788" max="11788" width="11.140625" style="248" customWidth="1"/>
    <col min="11789" max="11789" width="10.28515625" style="248" customWidth="1"/>
    <col min="11790" max="11790" width="9.28515625" style="248" bestFit="1" customWidth="1"/>
    <col min="11791" max="12032" width="9.140625" style="248"/>
    <col min="12033" max="12033" width="46.5703125" style="248" bestFit="1" customWidth="1"/>
    <col min="12034" max="12034" width="10.42578125" style="248" customWidth="1"/>
    <col min="12035" max="12035" width="13.7109375" style="248" bestFit="1" customWidth="1"/>
    <col min="12036" max="12036" width="11.85546875" style="248" customWidth="1"/>
    <col min="12037" max="12037" width="11.5703125" style="248" customWidth="1"/>
    <col min="12038" max="12038" width="14" style="248" customWidth="1"/>
    <col min="12039" max="12039" width="14.140625" style="248" customWidth="1"/>
    <col min="12040" max="12040" width="13.140625" style="248" customWidth="1"/>
    <col min="12041" max="12041" width="13" style="248" customWidth="1"/>
    <col min="12042" max="12042" width="14.140625" style="248" bestFit="1" customWidth="1"/>
    <col min="12043" max="12043" width="9.7109375" style="248" customWidth="1"/>
    <col min="12044" max="12044" width="11.140625" style="248" customWidth="1"/>
    <col min="12045" max="12045" width="10.28515625" style="248" customWidth="1"/>
    <col min="12046" max="12046" width="9.28515625" style="248" bestFit="1" customWidth="1"/>
    <col min="12047" max="12288" width="9.140625" style="248"/>
    <col min="12289" max="12289" width="46.5703125" style="248" bestFit="1" customWidth="1"/>
    <col min="12290" max="12290" width="10.42578125" style="248" customWidth="1"/>
    <col min="12291" max="12291" width="13.7109375" style="248" bestFit="1" customWidth="1"/>
    <col min="12292" max="12292" width="11.85546875" style="248" customWidth="1"/>
    <col min="12293" max="12293" width="11.5703125" style="248" customWidth="1"/>
    <col min="12294" max="12294" width="14" style="248" customWidth="1"/>
    <col min="12295" max="12295" width="14.140625" style="248" customWidth="1"/>
    <col min="12296" max="12296" width="13.140625" style="248" customWidth="1"/>
    <col min="12297" max="12297" width="13" style="248" customWidth="1"/>
    <col min="12298" max="12298" width="14.140625" style="248" bestFit="1" customWidth="1"/>
    <col min="12299" max="12299" width="9.7109375" style="248" customWidth="1"/>
    <col min="12300" max="12300" width="11.140625" style="248" customWidth="1"/>
    <col min="12301" max="12301" width="10.28515625" style="248" customWidth="1"/>
    <col min="12302" max="12302" width="9.28515625" style="248" bestFit="1" customWidth="1"/>
    <col min="12303" max="12544" width="9.140625" style="248"/>
    <col min="12545" max="12545" width="46.5703125" style="248" bestFit="1" customWidth="1"/>
    <col min="12546" max="12546" width="10.42578125" style="248" customWidth="1"/>
    <col min="12547" max="12547" width="13.7109375" style="248" bestFit="1" customWidth="1"/>
    <col min="12548" max="12548" width="11.85546875" style="248" customWidth="1"/>
    <col min="12549" max="12549" width="11.5703125" style="248" customWidth="1"/>
    <col min="12550" max="12550" width="14" style="248" customWidth="1"/>
    <col min="12551" max="12551" width="14.140625" style="248" customWidth="1"/>
    <col min="12552" max="12552" width="13.140625" style="248" customWidth="1"/>
    <col min="12553" max="12553" width="13" style="248" customWidth="1"/>
    <col min="12554" max="12554" width="14.140625" style="248" bestFit="1" customWidth="1"/>
    <col min="12555" max="12555" width="9.7109375" style="248" customWidth="1"/>
    <col min="12556" max="12556" width="11.140625" style="248" customWidth="1"/>
    <col min="12557" max="12557" width="10.28515625" style="248" customWidth="1"/>
    <col min="12558" max="12558" width="9.28515625" style="248" bestFit="1" customWidth="1"/>
    <col min="12559" max="12800" width="9.140625" style="248"/>
    <col min="12801" max="12801" width="46.5703125" style="248" bestFit="1" customWidth="1"/>
    <col min="12802" max="12802" width="10.42578125" style="248" customWidth="1"/>
    <col min="12803" max="12803" width="13.7109375" style="248" bestFit="1" customWidth="1"/>
    <col min="12804" max="12804" width="11.85546875" style="248" customWidth="1"/>
    <col min="12805" max="12805" width="11.5703125" style="248" customWidth="1"/>
    <col min="12806" max="12806" width="14" style="248" customWidth="1"/>
    <col min="12807" max="12807" width="14.140625" style="248" customWidth="1"/>
    <col min="12808" max="12808" width="13.140625" style="248" customWidth="1"/>
    <col min="12809" max="12809" width="13" style="248" customWidth="1"/>
    <col min="12810" max="12810" width="14.140625" style="248" bestFit="1" customWidth="1"/>
    <col min="12811" max="12811" width="9.7109375" style="248" customWidth="1"/>
    <col min="12812" max="12812" width="11.140625" style="248" customWidth="1"/>
    <col min="12813" max="12813" width="10.28515625" style="248" customWidth="1"/>
    <col min="12814" max="12814" width="9.28515625" style="248" bestFit="1" customWidth="1"/>
    <col min="12815" max="13056" width="9.140625" style="248"/>
    <col min="13057" max="13057" width="46.5703125" style="248" bestFit="1" customWidth="1"/>
    <col min="13058" max="13058" width="10.42578125" style="248" customWidth="1"/>
    <col min="13059" max="13059" width="13.7109375" style="248" bestFit="1" customWidth="1"/>
    <col min="13060" max="13060" width="11.85546875" style="248" customWidth="1"/>
    <col min="13061" max="13061" width="11.5703125" style="248" customWidth="1"/>
    <col min="13062" max="13062" width="14" style="248" customWidth="1"/>
    <col min="13063" max="13063" width="14.140625" style="248" customWidth="1"/>
    <col min="13064" max="13064" width="13.140625" style="248" customWidth="1"/>
    <col min="13065" max="13065" width="13" style="248" customWidth="1"/>
    <col min="13066" max="13066" width="14.140625" style="248" bestFit="1" customWidth="1"/>
    <col min="13067" max="13067" width="9.7109375" style="248" customWidth="1"/>
    <col min="13068" max="13068" width="11.140625" style="248" customWidth="1"/>
    <col min="13069" max="13069" width="10.28515625" style="248" customWidth="1"/>
    <col min="13070" max="13070" width="9.28515625" style="248" bestFit="1" customWidth="1"/>
    <col min="13071" max="13312" width="9.140625" style="248"/>
    <col min="13313" max="13313" width="46.5703125" style="248" bestFit="1" customWidth="1"/>
    <col min="13314" max="13314" width="10.42578125" style="248" customWidth="1"/>
    <col min="13315" max="13315" width="13.7109375" style="248" bestFit="1" customWidth="1"/>
    <col min="13316" max="13316" width="11.85546875" style="248" customWidth="1"/>
    <col min="13317" max="13317" width="11.5703125" style="248" customWidth="1"/>
    <col min="13318" max="13318" width="14" style="248" customWidth="1"/>
    <col min="13319" max="13319" width="14.140625" style="248" customWidth="1"/>
    <col min="13320" max="13320" width="13.140625" style="248" customWidth="1"/>
    <col min="13321" max="13321" width="13" style="248" customWidth="1"/>
    <col min="13322" max="13322" width="14.140625" style="248" bestFit="1" customWidth="1"/>
    <col min="13323" max="13323" width="9.7109375" style="248" customWidth="1"/>
    <col min="13324" max="13324" width="11.140625" style="248" customWidth="1"/>
    <col min="13325" max="13325" width="10.28515625" style="248" customWidth="1"/>
    <col min="13326" max="13326" width="9.28515625" style="248" bestFit="1" customWidth="1"/>
    <col min="13327" max="13568" width="9.140625" style="248"/>
    <col min="13569" max="13569" width="46.5703125" style="248" bestFit="1" customWidth="1"/>
    <col min="13570" max="13570" width="10.42578125" style="248" customWidth="1"/>
    <col min="13571" max="13571" width="13.7109375" style="248" bestFit="1" customWidth="1"/>
    <col min="13572" max="13572" width="11.85546875" style="248" customWidth="1"/>
    <col min="13573" max="13573" width="11.5703125" style="248" customWidth="1"/>
    <col min="13574" max="13574" width="14" style="248" customWidth="1"/>
    <col min="13575" max="13575" width="14.140625" style="248" customWidth="1"/>
    <col min="13576" max="13576" width="13.140625" style="248" customWidth="1"/>
    <col min="13577" max="13577" width="13" style="248" customWidth="1"/>
    <col min="13578" max="13578" width="14.140625" style="248" bestFit="1" customWidth="1"/>
    <col min="13579" max="13579" width="9.7109375" style="248" customWidth="1"/>
    <col min="13580" max="13580" width="11.140625" style="248" customWidth="1"/>
    <col min="13581" max="13581" width="10.28515625" style="248" customWidth="1"/>
    <col min="13582" max="13582" width="9.28515625" style="248" bestFit="1" customWidth="1"/>
    <col min="13583" max="13824" width="9.140625" style="248"/>
    <col min="13825" max="13825" width="46.5703125" style="248" bestFit="1" customWidth="1"/>
    <col min="13826" max="13826" width="10.42578125" style="248" customWidth="1"/>
    <col min="13827" max="13827" width="13.7109375" style="248" bestFit="1" customWidth="1"/>
    <col min="13828" max="13828" width="11.85546875" style="248" customWidth="1"/>
    <col min="13829" max="13829" width="11.5703125" style="248" customWidth="1"/>
    <col min="13830" max="13830" width="14" style="248" customWidth="1"/>
    <col min="13831" max="13831" width="14.140625" style="248" customWidth="1"/>
    <col min="13832" max="13832" width="13.140625" style="248" customWidth="1"/>
    <col min="13833" max="13833" width="13" style="248" customWidth="1"/>
    <col min="13834" max="13834" width="14.140625" style="248" bestFit="1" customWidth="1"/>
    <col min="13835" max="13835" width="9.7109375" style="248" customWidth="1"/>
    <col min="13836" max="13836" width="11.140625" style="248" customWidth="1"/>
    <col min="13837" max="13837" width="10.28515625" style="248" customWidth="1"/>
    <col min="13838" max="13838" width="9.28515625" style="248" bestFit="1" customWidth="1"/>
    <col min="13839" max="14080" width="9.140625" style="248"/>
    <col min="14081" max="14081" width="46.5703125" style="248" bestFit="1" customWidth="1"/>
    <col min="14082" max="14082" width="10.42578125" style="248" customWidth="1"/>
    <col min="14083" max="14083" width="13.7109375" style="248" bestFit="1" customWidth="1"/>
    <col min="14084" max="14084" width="11.85546875" style="248" customWidth="1"/>
    <col min="14085" max="14085" width="11.5703125" style="248" customWidth="1"/>
    <col min="14086" max="14086" width="14" style="248" customWidth="1"/>
    <col min="14087" max="14087" width="14.140625" style="248" customWidth="1"/>
    <col min="14088" max="14088" width="13.140625" style="248" customWidth="1"/>
    <col min="14089" max="14089" width="13" style="248" customWidth="1"/>
    <col min="14090" max="14090" width="14.140625" style="248" bestFit="1" customWidth="1"/>
    <col min="14091" max="14091" width="9.7109375" style="248" customWidth="1"/>
    <col min="14092" max="14092" width="11.140625" style="248" customWidth="1"/>
    <col min="14093" max="14093" width="10.28515625" style="248" customWidth="1"/>
    <col min="14094" max="14094" width="9.28515625" style="248" bestFit="1" customWidth="1"/>
    <col min="14095" max="14336" width="9.140625" style="248"/>
    <col min="14337" max="14337" width="46.5703125" style="248" bestFit="1" customWidth="1"/>
    <col min="14338" max="14338" width="10.42578125" style="248" customWidth="1"/>
    <col min="14339" max="14339" width="13.7109375" style="248" bestFit="1" customWidth="1"/>
    <col min="14340" max="14340" width="11.85546875" style="248" customWidth="1"/>
    <col min="14341" max="14341" width="11.5703125" style="248" customWidth="1"/>
    <col min="14342" max="14342" width="14" style="248" customWidth="1"/>
    <col min="14343" max="14343" width="14.140625" style="248" customWidth="1"/>
    <col min="14344" max="14344" width="13.140625" style="248" customWidth="1"/>
    <col min="14345" max="14345" width="13" style="248" customWidth="1"/>
    <col min="14346" max="14346" width="14.140625" style="248" bestFit="1" customWidth="1"/>
    <col min="14347" max="14347" width="9.7109375" style="248" customWidth="1"/>
    <col min="14348" max="14348" width="11.140625" style="248" customWidth="1"/>
    <col min="14349" max="14349" width="10.28515625" style="248" customWidth="1"/>
    <col min="14350" max="14350" width="9.28515625" style="248" bestFit="1" customWidth="1"/>
    <col min="14351" max="14592" width="9.140625" style="248"/>
    <col min="14593" max="14593" width="46.5703125" style="248" bestFit="1" customWidth="1"/>
    <col min="14594" max="14594" width="10.42578125" style="248" customWidth="1"/>
    <col min="14595" max="14595" width="13.7109375" style="248" bestFit="1" customWidth="1"/>
    <col min="14596" max="14596" width="11.85546875" style="248" customWidth="1"/>
    <col min="14597" max="14597" width="11.5703125" style="248" customWidth="1"/>
    <col min="14598" max="14598" width="14" style="248" customWidth="1"/>
    <col min="14599" max="14599" width="14.140625" style="248" customWidth="1"/>
    <col min="14600" max="14600" width="13.140625" style="248" customWidth="1"/>
    <col min="14601" max="14601" width="13" style="248" customWidth="1"/>
    <col min="14602" max="14602" width="14.140625" style="248" bestFit="1" customWidth="1"/>
    <col min="14603" max="14603" width="9.7109375" style="248" customWidth="1"/>
    <col min="14604" max="14604" width="11.140625" style="248" customWidth="1"/>
    <col min="14605" max="14605" width="10.28515625" style="248" customWidth="1"/>
    <col min="14606" max="14606" width="9.28515625" style="248" bestFit="1" customWidth="1"/>
    <col min="14607" max="14848" width="9.140625" style="248"/>
    <col min="14849" max="14849" width="46.5703125" style="248" bestFit="1" customWidth="1"/>
    <col min="14850" max="14850" width="10.42578125" style="248" customWidth="1"/>
    <col min="14851" max="14851" width="13.7109375" style="248" bestFit="1" customWidth="1"/>
    <col min="14852" max="14852" width="11.85546875" style="248" customWidth="1"/>
    <col min="14853" max="14853" width="11.5703125" style="248" customWidth="1"/>
    <col min="14854" max="14854" width="14" style="248" customWidth="1"/>
    <col min="14855" max="14855" width="14.140625" style="248" customWidth="1"/>
    <col min="14856" max="14856" width="13.140625" style="248" customWidth="1"/>
    <col min="14857" max="14857" width="13" style="248" customWidth="1"/>
    <col min="14858" max="14858" width="14.140625" style="248" bestFit="1" customWidth="1"/>
    <col min="14859" max="14859" width="9.7109375" style="248" customWidth="1"/>
    <col min="14860" max="14860" width="11.140625" style="248" customWidth="1"/>
    <col min="14861" max="14861" width="10.28515625" style="248" customWidth="1"/>
    <col min="14862" max="14862" width="9.28515625" style="248" bestFit="1" customWidth="1"/>
    <col min="14863" max="15104" width="9.140625" style="248"/>
    <col min="15105" max="15105" width="46.5703125" style="248" bestFit="1" customWidth="1"/>
    <col min="15106" max="15106" width="10.42578125" style="248" customWidth="1"/>
    <col min="15107" max="15107" width="13.7109375" style="248" bestFit="1" customWidth="1"/>
    <col min="15108" max="15108" width="11.85546875" style="248" customWidth="1"/>
    <col min="15109" max="15109" width="11.5703125" style="248" customWidth="1"/>
    <col min="15110" max="15110" width="14" style="248" customWidth="1"/>
    <col min="15111" max="15111" width="14.140625" style="248" customWidth="1"/>
    <col min="15112" max="15112" width="13.140625" style="248" customWidth="1"/>
    <col min="15113" max="15113" width="13" style="248" customWidth="1"/>
    <col min="15114" max="15114" width="14.140625" style="248" bestFit="1" customWidth="1"/>
    <col min="15115" max="15115" width="9.7109375" style="248" customWidth="1"/>
    <col min="15116" max="15116" width="11.140625" style="248" customWidth="1"/>
    <col min="15117" max="15117" width="10.28515625" style="248" customWidth="1"/>
    <col min="15118" max="15118" width="9.28515625" style="248" bestFit="1" customWidth="1"/>
    <col min="15119" max="15360" width="9.140625" style="248"/>
    <col min="15361" max="15361" width="46.5703125" style="248" bestFit="1" customWidth="1"/>
    <col min="15362" max="15362" width="10.42578125" style="248" customWidth="1"/>
    <col min="15363" max="15363" width="13.7109375" style="248" bestFit="1" customWidth="1"/>
    <col min="15364" max="15364" width="11.85546875" style="248" customWidth="1"/>
    <col min="15365" max="15365" width="11.5703125" style="248" customWidth="1"/>
    <col min="15366" max="15366" width="14" style="248" customWidth="1"/>
    <col min="15367" max="15367" width="14.140625" style="248" customWidth="1"/>
    <col min="15368" max="15368" width="13.140625" style="248" customWidth="1"/>
    <col min="15369" max="15369" width="13" style="248" customWidth="1"/>
    <col min="15370" max="15370" width="14.140625" style="248" bestFit="1" customWidth="1"/>
    <col min="15371" max="15371" width="9.7109375" style="248" customWidth="1"/>
    <col min="15372" max="15372" width="11.140625" style="248" customWidth="1"/>
    <col min="15373" max="15373" width="10.28515625" style="248" customWidth="1"/>
    <col min="15374" max="15374" width="9.28515625" style="248" bestFit="1" customWidth="1"/>
    <col min="15375" max="15616" width="9.140625" style="248"/>
    <col min="15617" max="15617" width="46.5703125" style="248" bestFit="1" customWidth="1"/>
    <col min="15618" max="15618" width="10.42578125" style="248" customWidth="1"/>
    <col min="15619" max="15619" width="13.7109375" style="248" bestFit="1" customWidth="1"/>
    <col min="15620" max="15620" width="11.85546875" style="248" customWidth="1"/>
    <col min="15621" max="15621" width="11.5703125" style="248" customWidth="1"/>
    <col min="15622" max="15622" width="14" style="248" customWidth="1"/>
    <col min="15623" max="15623" width="14.140625" style="248" customWidth="1"/>
    <col min="15624" max="15624" width="13.140625" style="248" customWidth="1"/>
    <col min="15625" max="15625" width="13" style="248" customWidth="1"/>
    <col min="15626" max="15626" width="14.140625" style="248" bestFit="1" customWidth="1"/>
    <col min="15627" max="15627" width="9.7109375" style="248" customWidth="1"/>
    <col min="15628" max="15628" width="11.140625" style="248" customWidth="1"/>
    <col min="15629" max="15629" width="10.28515625" style="248" customWidth="1"/>
    <col min="15630" max="15630" width="9.28515625" style="248" bestFit="1" customWidth="1"/>
    <col min="15631" max="15872" width="9.140625" style="248"/>
    <col min="15873" max="15873" width="46.5703125" style="248" bestFit="1" customWidth="1"/>
    <col min="15874" max="15874" width="10.42578125" style="248" customWidth="1"/>
    <col min="15875" max="15875" width="13.7109375" style="248" bestFit="1" customWidth="1"/>
    <col min="15876" max="15876" width="11.85546875" style="248" customWidth="1"/>
    <col min="15877" max="15877" width="11.5703125" style="248" customWidth="1"/>
    <col min="15878" max="15878" width="14" style="248" customWidth="1"/>
    <col min="15879" max="15879" width="14.140625" style="248" customWidth="1"/>
    <col min="15880" max="15880" width="13.140625" style="248" customWidth="1"/>
    <col min="15881" max="15881" width="13" style="248" customWidth="1"/>
    <col min="15882" max="15882" width="14.140625" style="248" bestFit="1" customWidth="1"/>
    <col min="15883" max="15883" width="9.7109375" style="248" customWidth="1"/>
    <col min="15884" max="15884" width="11.140625" style="248" customWidth="1"/>
    <col min="15885" max="15885" width="10.28515625" style="248" customWidth="1"/>
    <col min="15886" max="15886" width="9.28515625" style="248" bestFit="1" customWidth="1"/>
    <col min="15887" max="16128" width="9.140625" style="248"/>
    <col min="16129" max="16129" width="46.5703125" style="248" bestFit="1" customWidth="1"/>
    <col min="16130" max="16130" width="10.42578125" style="248" customWidth="1"/>
    <col min="16131" max="16131" width="13.7109375" style="248" bestFit="1" customWidth="1"/>
    <col min="16132" max="16132" width="11.85546875" style="248" customWidth="1"/>
    <col min="16133" max="16133" width="11.5703125" style="248" customWidth="1"/>
    <col min="16134" max="16134" width="14" style="248" customWidth="1"/>
    <col min="16135" max="16135" width="14.140625" style="248" customWidth="1"/>
    <col min="16136" max="16136" width="13.140625" style="248" customWidth="1"/>
    <col min="16137" max="16137" width="13" style="248" customWidth="1"/>
    <col min="16138" max="16138" width="14.140625" style="248" bestFit="1" customWidth="1"/>
    <col min="16139" max="16139" width="9.7109375" style="248" customWidth="1"/>
    <col min="16140" max="16140" width="11.140625" style="248" customWidth="1"/>
    <col min="16141" max="16141" width="10.28515625" style="248" customWidth="1"/>
    <col min="16142" max="16142" width="9.28515625" style="248" bestFit="1" customWidth="1"/>
    <col min="16143" max="16384" width="9.140625" style="248"/>
  </cols>
  <sheetData>
    <row r="1" spans="1:14" ht="18">
      <c r="A1" s="893" t="s">
        <v>31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</row>
    <row r="2" spans="1:14" ht="15.75">
      <c r="A2" s="894" t="s">
        <v>357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</row>
    <row r="3" spans="1:14" ht="15.75">
      <c r="A3" s="489" t="s">
        <v>585</v>
      </c>
      <c r="B3" s="489"/>
      <c r="C3" s="489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.7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1" customHeight="1">
      <c r="A5" s="252" t="s">
        <v>272</v>
      </c>
      <c r="B5" s="895" t="s">
        <v>358</v>
      </c>
      <c r="C5" s="895"/>
      <c r="D5" s="895"/>
      <c r="E5" s="895"/>
      <c r="F5" s="252" t="s">
        <v>344</v>
      </c>
      <c r="G5" s="252"/>
      <c r="H5" s="896">
        <v>10</v>
      </c>
      <c r="I5" s="896"/>
      <c r="J5" s="252" t="s">
        <v>32</v>
      </c>
      <c r="K5" s="364">
        <v>5000.68</v>
      </c>
      <c r="L5" s="252" t="s">
        <v>86</v>
      </c>
      <c r="M5" s="252"/>
      <c r="N5" s="364">
        <v>800</v>
      </c>
    </row>
    <row r="6" spans="1:14" ht="21" customHeight="1">
      <c r="A6" s="252"/>
      <c r="B6" s="254"/>
      <c r="C6" s="254"/>
      <c r="D6" s="254"/>
      <c r="E6" s="254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21" customHeight="1">
      <c r="A7" s="252" t="s">
        <v>347</v>
      </c>
      <c r="B7" s="889" t="s">
        <v>359</v>
      </c>
      <c r="C7" s="890"/>
      <c r="D7" s="890"/>
      <c r="E7" s="891"/>
      <c r="F7" s="892" t="s">
        <v>280</v>
      </c>
      <c r="G7" s="892"/>
      <c r="H7" s="889" t="s">
        <v>360</v>
      </c>
      <c r="I7" s="890"/>
      <c r="J7" s="891"/>
      <c r="K7" s="252"/>
      <c r="L7" s="252"/>
      <c r="M7" s="252"/>
      <c r="N7" s="252"/>
    </row>
    <row r="8" spans="1:14" ht="21" customHeight="1">
      <c r="A8" s="252"/>
      <c r="B8" s="254"/>
      <c r="C8" s="254"/>
      <c r="D8" s="254"/>
      <c r="E8" s="254"/>
      <c r="F8" s="367"/>
      <c r="G8" s="367"/>
      <c r="H8" s="254"/>
      <c r="I8" s="254"/>
      <c r="J8" s="254"/>
      <c r="K8" s="252"/>
      <c r="L8" s="252"/>
      <c r="M8" s="252"/>
      <c r="N8" s="252"/>
    </row>
    <row r="9" spans="1:14" ht="21" customHeight="1">
      <c r="A9" s="256" t="s">
        <v>350</v>
      </c>
      <c r="B9" s="897" t="s">
        <v>361</v>
      </c>
      <c r="C9" s="897"/>
      <c r="D9" s="897"/>
      <c r="E9" s="897"/>
      <c r="F9" s="898"/>
      <c r="G9" s="899"/>
      <c r="H9" s="897" t="s">
        <v>362</v>
      </c>
      <c r="I9" s="897"/>
      <c r="J9" s="897"/>
      <c r="K9" s="897"/>
      <c r="L9" s="252"/>
      <c r="M9" s="252"/>
      <c r="N9" s="252"/>
    </row>
    <row r="10" spans="1:14" ht="21" customHeight="1">
      <c r="A10" s="252"/>
      <c r="B10" s="897"/>
      <c r="C10" s="897"/>
      <c r="D10" s="897"/>
      <c r="E10" s="897"/>
      <c r="F10" s="898"/>
      <c r="G10" s="899"/>
      <c r="H10" s="897"/>
      <c r="I10" s="897"/>
      <c r="J10" s="897"/>
      <c r="K10" s="897"/>
      <c r="L10" s="252"/>
      <c r="M10" s="252"/>
      <c r="N10" s="252"/>
    </row>
    <row r="11" spans="1:14" ht="21" customHeight="1">
      <c r="A11" s="252"/>
      <c r="B11" s="897"/>
      <c r="C11" s="897"/>
      <c r="D11" s="897"/>
      <c r="E11" s="897"/>
      <c r="F11" s="898"/>
      <c r="G11" s="899"/>
      <c r="H11" s="897"/>
      <c r="I11" s="897"/>
      <c r="J11" s="897"/>
      <c r="K11" s="897"/>
      <c r="L11" s="252"/>
      <c r="M11" s="252"/>
      <c r="N11" s="252"/>
    </row>
    <row r="12" spans="1:14" ht="21" customHeight="1">
      <c r="A12" s="252"/>
      <c r="B12" s="254"/>
      <c r="C12" s="254"/>
      <c r="D12" s="254"/>
      <c r="E12" s="254"/>
      <c r="F12" s="252"/>
      <c r="G12" s="252"/>
      <c r="H12" s="254"/>
      <c r="I12" s="254"/>
      <c r="J12" s="254"/>
      <c r="K12" s="254"/>
      <c r="L12" s="252"/>
      <c r="M12" s="252"/>
      <c r="N12" s="252"/>
    </row>
    <row r="13" spans="1:14" ht="21" customHeight="1">
      <c r="A13" s="252" t="s">
        <v>353</v>
      </c>
      <c r="B13" s="364">
        <v>10</v>
      </c>
      <c r="C13" s="252" t="s">
        <v>354</v>
      </c>
      <c r="D13" s="252"/>
      <c r="E13" s="252"/>
      <c r="F13" s="364">
        <v>34</v>
      </c>
      <c r="G13" s="252" t="s">
        <v>36</v>
      </c>
      <c r="H13" s="365">
        <v>110</v>
      </c>
      <c r="I13" s="252" t="s">
        <v>37</v>
      </c>
      <c r="J13" s="365">
        <v>15</v>
      </c>
      <c r="K13" s="252" t="s">
        <v>38</v>
      </c>
      <c r="L13" s="364">
        <f>+'[8]Jeevan Jyoti'!L18+[8]REWA!L18+[8]Dhanpati!L18+[8]Brahmanidei!L18+[8]Bansadhara!L18+'[8]Maa Manikeswari'!L18+[8]Lehurilima!L18+[8]Mahendranaya!L17+[8]Jeobajiri!L18+[8]Chaturveda!L18</f>
        <v>29</v>
      </c>
      <c r="M13" s="252"/>
      <c r="N13" s="252"/>
    </row>
    <row r="14" spans="1:14" ht="21" customHeight="1">
      <c r="A14" s="252"/>
      <c r="B14" s="252"/>
      <c r="C14" s="252"/>
      <c r="D14" s="252"/>
      <c r="E14" s="252"/>
      <c r="F14" s="252"/>
      <c r="G14" s="252"/>
      <c r="H14" s="257"/>
      <c r="I14" s="257"/>
      <c r="J14" s="257"/>
      <c r="K14" s="254"/>
      <c r="L14" s="254"/>
      <c r="M14" s="254"/>
      <c r="N14" s="252"/>
    </row>
    <row r="15" spans="1:14" ht="21" customHeight="1">
      <c r="A15" s="252"/>
      <c r="C15" s="252"/>
      <c r="D15" s="252"/>
      <c r="E15" s="252"/>
      <c r="G15" s="252"/>
      <c r="I15" s="252"/>
      <c r="J15" s="252"/>
      <c r="K15" s="252"/>
      <c r="L15" s="252"/>
      <c r="M15" s="252"/>
      <c r="N15" s="252"/>
    </row>
    <row r="16" spans="1:14" ht="21" customHeight="1">
      <c r="A16" s="252" t="s">
        <v>39</v>
      </c>
      <c r="B16" s="252" t="s">
        <v>40</v>
      </c>
      <c r="C16" s="364">
        <v>1676</v>
      </c>
      <c r="D16" s="252" t="s">
        <v>41</v>
      </c>
      <c r="E16" s="364">
        <v>124</v>
      </c>
      <c r="F16" s="252" t="s">
        <v>42</v>
      </c>
      <c r="G16" s="253">
        <v>257</v>
      </c>
      <c r="H16" s="252" t="s">
        <v>64</v>
      </c>
      <c r="I16" s="253">
        <v>2057</v>
      </c>
      <c r="J16" s="252" t="s">
        <v>43</v>
      </c>
      <c r="K16" s="364">
        <v>720</v>
      </c>
      <c r="L16" s="252" t="s">
        <v>232</v>
      </c>
      <c r="M16" s="252"/>
      <c r="N16" s="364">
        <v>211</v>
      </c>
    </row>
    <row r="17" spans="1:14" ht="21" customHeight="1">
      <c r="A17" s="252" t="s">
        <v>45</v>
      </c>
      <c r="B17" s="252" t="s">
        <v>46</v>
      </c>
      <c r="C17" s="364">
        <v>3170</v>
      </c>
      <c r="D17" s="252" t="s">
        <v>47</v>
      </c>
      <c r="E17" s="364">
        <v>399</v>
      </c>
      <c r="F17" s="252" t="s">
        <v>48</v>
      </c>
      <c r="G17" s="253">
        <v>590</v>
      </c>
      <c r="H17" s="252" t="s">
        <v>77</v>
      </c>
      <c r="I17" s="253">
        <v>4159</v>
      </c>
      <c r="J17" s="252"/>
      <c r="K17" s="252"/>
      <c r="L17" s="252"/>
      <c r="M17" s="252"/>
      <c r="N17" s="252"/>
    </row>
    <row r="18" spans="1:14" ht="21" customHeight="1">
      <c r="A18" s="252"/>
      <c r="B18" s="252" t="s">
        <v>49</v>
      </c>
      <c r="C18" s="364">
        <v>3213</v>
      </c>
      <c r="D18" s="252" t="s">
        <v>50</v>
      </c>
      <c r="E18" s="364">
        <v>389</v>
      </c>
      <c r="F18" s="252" t="s">
        <v>51</v>
      </c>
      <c r="G18" s="253">
        <v>469</v>
      </c>
      <c r="H18" s="252" t="s">
        <v>76</v>
      </c>
      <c r="I18" s="253">
        <v>4071</v>
      </c>
      <c r="J18" s="252"/>
      <c r="K18" s="252"/>
      <c r="L18" s="252"/>
      <c r="M18" s="252"/>
      <c r="N18" s="252"/>
    </row>
    <row r="19" spans="1:14" ht="15" customHeight="1">
      <c r="A19" s="252"/>
      <c r="B19" s="252"/>
      <c r="C19" s="252"/>
      <c r="D19" s="252"/>
      <c r="E19" s="252"/>
      <c r="F19" s="252"/>
      <c r="G19" s="252"/>
      <c r="H19" s="252"/>
      <c r="I19" s="258"/>
      <c r="J19" s="252"/>
      <c r="K19" s="252"/>
      <c r="L19" s="252"/>
      <c r="M19" s="252"/>
      <c r="N19" s="252"/>
    </row>
    <row r="20" spans="1:14">
      <c r="A20" s="252" t="s">
        <v>52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4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 ht="20.25" customHeight="1">
      <c r="A22" s="896" t="s">
        <v>53</v>
      </c>
      <c r="B22" s="900" t="s">
        <v>54</v>
      </c>
      <c r="C22" s="900" t="s">
        <v>55</v>
      </c>
      <c r="D22" s="900" t="s">
        <v>669</v>
      </c>
      <c r="E22" s="900" t="s">
        <v>103</v>
      </c>
      <c r="F22" s="895" t="s">
        <v>664</v>
      </c>
      <c r="G22" s="895"/>
      <c r="H22" s="895"/>
      <c r="I22" s="895"/>
      <c r="J22" s="895"/>
      <c r="K22" s="895"/>
      <c r="L22" s="895"/>
      <c r="M22" s="895"/>
      <c r="N22" s="895"/>
    </row>
    <row r="23" spans="1:14" ht="20.25" customHeight="1">
      <c r="A23" s="896"/>
      <c r="B23" s="900"/>
      <c r="C23" s="900"/>
      <c r="D23" s="900"/>
      <c r="E23" s="901"/>
      <c r="F23" s="61" t="s">
        <v>105</v>
      </c>
      <c r="G23" s="61" t="s">
        <v>106</v>
      </c>
      <c r="H23" s="61" t="s">
        <v>107</v>
      </c>
      <c r="I23" s="364" t="s">
        <v>108</v>
      </c>
      <c r="J23" s="364" t="s">
        <v>109</v>
      </c>
      <c r="K23" s="364" t="s">
        <v>110</v>
      </c>
      <c r="L23" s="364" t="s">
        <v>111</v>
      </c>
      <c r="M23" s="61" t="s">
        <v>64</v>
      </c>
      <c r="N23" s="61" t="s">
        <v>65</v>
      </c>
    </row>
    <row r="24" spans="1:14" ht="20.25" customHeight="1">
      <c r="A24" s="249" t="s">
        <v>370</v>
      </c>
      <c r="B24" s="249">
        <v>500</v>
      </c>
      <c r="C24" s="249" t="s">
        <v>300</v>
      </c>
      <c r="D24" s="384">
        <v>2500000</v>
      </c>
      <c r="E24" s="385">
        <v>1125206</v>
      </c>
      <c r="F24" s="386">
        <f>412770+550000</f>
        <v>962770</v>
      </c>
      <c r="G24" s="387">
        <v>165628</v>
      </c>
      <c r="H24" s="388"/>
      <c r="I24" s="389"/>
      <c r="J24" s="390"/>
      <c r="K24" s="390"/>
      <c r="L24" s="391"/>
      <c r="M24" s="387">
        <f>+F24+G24</f>
        <v>1128398</v>
      </c>
      <c r="N24" s="250">
        <f>+M24/E24*100</f>
        <v>100.28368138811916</v>
      </c>
    </row>
    <row r="25" spans="1:14" ht="20.25" customHeight="1">
      <c r="A25" s="249" t="s">
        <v>338</v>
      </c>
      <c r="B25" s="249">
        <v>360</v>
      </c>
      <c r="C25" s="249" t="s">
        <v>300</v>
      </c>
      <c r="D25" s="384">
        <v>1800000</v>
      </c>
      <c r="E25" s="385">
        <v>106050</v>
      </c>
      <c r="F25" s="386">
        <v>0</v>
      </c>
      <c r="G25" s="387">
        <v>104491</v>
      </c>
      <c r="H25" s="388"/>
      <c r="I25" s="389"/>
      <c r="J25" s="390"/>
      <c r="K25" s="390"/>
      <c r="L25" s="391"/>
      <c r="M25" s="387">
        <f t="shared" ref="M25:M32" si="0">+F25+G25</f>
        <v>104491</v>
      </c>
      <c r="N25" s="250">
        <f t="shared" ref="N25:N32" si="1">+M25/E25*100</f>
        <v>98.529938708156521</v>
      </c>
    </row>
    <row r="26" spans="1:14" ht="20.25" customHeight="1">
      <c r="A26" s="249" t="s">
        <v>321</v>
      </c>
      <c r="B26" s="249">
        <v>3.6</v>
      </c>
      <c r="C26" s="249" t="s">
        <v>363</v>
      </c>
      <c r="D26" s="253">
        <v>5544000</v>
      </c>
      <c r="E26" s="392">
        <v>690000</v>
      </c>
      <c r="F26" s="386">
        <v>355779</v>
      </c>
      <c r="G26" s="387">
        <v>471966</v>
      </c>
      <c r="H26" s="393"/>
      <c r="I26" s="389"/>
      <c r="J26" s="390"/>
      <c r="K26" s="390"/>
      <c r="L26" s="391"/>
      <c r="M26" s="387">
        <f t="shared" si="0"/>
        <v>827745</v>
      </c>
      <c r="N26" s="250">
        <f t="shared" si="1"/>
        <v>119.96304347826087</v>
      </c>
    </row>
    <row r="27" spans="1:14" ht="20.25" customHeight="1">
      <c r="A27" s="249" t="s">
        <v>246</v>
      </c>
      <c r="B27" s="249">
        <v>0.84</v>
      </c>
      <c r="C27" s="249" t="s">
        <v>363</v>
      </c>
      <c r="D27" s="253">
        <v>588000</v>
      </c>
      <c r="E27" s="392">
        <v>276000</v>
      </c>
      <c r="F27" s="386">
        <f>89027+53417</f>
        <v>142444</v>
      </c>
      <c r="G27" s="387">
        <v>202516</v>
      </c>
      <c r="H27" s="393"/>
      <c r="I27" s="389"/>
      <c r="J27" s="390"/>
      <c r="K27" s="390"/>
      <c r="L27" s="391"/>
      <c r="M27" s="387">
        <f t="shared" si="0"/>
        <v>344960</v>
      </c>
      <c r="N27" s="250">
        <f t="shared" si="1"/>
        <v>124.9855072463768</v>
      </c>
    </row>
    <row r="28" spans="1:14" ht="20.25" customHeight="1">
      <c r="A28" s="249" t="s">
        <v>322</v>
      </c>
      <c r="B28" s="249">
        <v>3.6</v>
      </c>
      <c r="C28" s="249" t="s">
        <v>363</v>
      </c>
      <c r="D28" s="253">
        <v>2280000</v>
      </c>
      <c r="E28" s="392">
        <v>500000</v>
      </c>
      <c r="F28" s="386">
        <v>225422</v>
      </c>
      <c r="G28" s="387">
        <v>68851</v>
      </c>
      <c r="H28" s="393"/>
      <c r="I28" s="389"/>
      <c r="J28" s="390"/>
      <c r="K28" s="390"/>
      <c r="L28" s="391"/>
      <c r="M28" s="387">
        <f t="shared" si="0"/>
        <v>294273</v>
      </c>
      <c r="N28" s="250">
        <f t="shared" si="1"/>
        <v>58.854600000000005</v>
      </c>
    </row>
    <row r="29" spans="1:14" ht="20.25" customHeight="1">
      <c r="A29" s="249" t="s">
        <v>305</v>
      </c>
      <c r="B29" s="249">
        <v>0.24</v>
      </c>
      <c r="C29" s="249" t="s">
        <v>363</v>
      </c>
      <c r="D29" s="253">
        <v>168000</v>
      </c>
      <c r="E29" s="392">
        <v>50000</v>
      </c>
      <c r="F29" s="386">
        <v>26000</v>
      </c>
      <c r="G29" s="387">
        <v>24799</v>
      </c>
      <c r="H29" s="393"/>
      <c r="I29" s="389"/>
      <c r="J29" s="390"/>
      <c r="K29" s="390"/>
      <c r="L29" s="391"/>
      <c r="M29" s="387">
        <f t="shared" si="0"/>
        <v>50799</v>
      </c>
      <c r="N29" s="250">
        <f t="shared" si="1"/>
        <v>101.59800000000001</v>
      </c>
    </row>
    <row r="30" spans="1:14" ht="20.25" customHeight="1">
      <c r="A30" s="249" t="s">
        <v>306</v>
      </c>
      <c r="B30" s="249">
        <v>0.36</v>
      </c>
      <c r="C30" s="249" t="s">
        <v>363</v>
      </c>
      <c r="D30" s="253">
        <v>252000</v>
      </c>
      <c r="E30" s="392">
        <v>75000</v>
      </c>
      <c r="F30" s="386">
        <v>39000</v>
      </c>
      <c r="G30" s="387">
        <v>24000</v>
      </c>
      <c r="H30" s="393"/>
      <c r="I30" s="389"/>
      <c r="J30" s="390"/>
      <c r="K30" s="390"/>
      <c r="L30" s="391"/>
      <c r="M30" s="387">
        <f t="shared" si="0"/>
        <v>63000</v>
      </c>
      <c r="N30" s="250">
        <f t="shared" si="1"/>
        <v>84</v>
      </c>
    </row>
    <row r="31" spans="1:14" ht="20.25" customHeight="1">
      <c r="A31" s="249" t="s">
        <v>371</v>
      </c>
      <c r="B31" s="249">
        <v>0.2</v>
      </c>
      <c r="C31" s="249" t="s">
        <v>68</v>
      </c>
      <c r="D31" s="253">
        <v>20000</v>
      </c>
      <c r="E31" s="392">
        <v>20000</v>
      </c>
      <c r="F31" s="386">
        <v>20000</v>
      </c>
      <c r="G31" s="387">
        <v>0</v>
      </c>
      <c r="H31" s="393"/>
      <c r="I31" s="389"/>
      <c r="J31" s="390"/>
      <c r="K31" s="390"/>
      <c r="L31" s="391"/>
      <c r="M31" s="387">
        <f t="shared" si="0"/>
        <v>20000</v>
      </c>
      <c r="N31" s="250">
        <f t="shared" si="1"/>
        <v>100</v>
      </c>
    </row>
    <row r="32" spans="1:14" ht="20.25" customHeight="1">
      <c r="A32" s="364" t="s">
        <v>69</v>
      </c>
      <c r="B32" s="249"/>
      <c r="C32" s="249"/>
      <c r="D32" s="394">
        <f>SUM(D24:D31)</f>
        <v>13152000</v>
      </c>
      <c r="E32" s="385">
        <v>2842256</v>
      </c>
      <c r="F32" s="395">
        <f>SUM(F24:F31)</f>
        <v>1771415</v>
      </c>
      <c r="G32" s="395">
        <f>SUM(G24:G31)</f>
        <v>1062251</v>
      </c>
      <c r="H32" s="388"/>
      <c r="I32" s="396">
        <f>SUM(I24:I29)</f>
        <v>0</v>
      </c>
      <c r="J32" s="395">
        <f>SUM(J24:J29)</f>
        <v>0</v>
      </c>
      <c r="K32" s="395">
        <f>SUM(K24:K29)</f>
        <v>0</v>
      </c>
      <c r="L32" s="397">
        <f>SUM(L24:L29)</f>
        <v>0</v>
      </c>
      <c r="M32" s="398">
        <f t="shared" si="0"/>
        <v>2833666</v>
      </c>
      <c r="N32" s="250">
        <f t="shared" si="1"/>
        <v>99.697775288362493</v>
      </c>
    </row>
    <row r="34" spans="1:9" ht="20.25" customHeight="1">
      <c r="A34" s="399" t="s">
        <v>665</v>
      </c>
      <c r="B34" s="62"/>
      <c r="C34" s="62"/>
      <c r="D34" s="62"/>
      <c r="E34" s="62" t="s">
        <v>666</v>
      </c>
    </row>
    <row r="35" spans="1:9" ht="20.25" customHeight="1">
      <c r="A35" s="57"/>
      <c r="I35" s="57"/>
    </row>
    <row r="36" spans="1:9" ht="20.25" customHeight="1">
      <c r="A36" s="248" t="s">
        <v>667</v>
      </c>
      <c r="E36" s="248" t="s">
        <v>668</v>
      </c>
    </row>
  </sheetData>
  <mergeCells count="17">
    <mergeCell ref="B9:E11"/>
    <mergeCell ref="F9:G11"/>
    <mergeCell ref="H9:K11"/>
    <mergeCell ref="A22:A23"/>
    <mergeCell ref="B22:B23"/>
    <mergeCell ref="C22:C23"/>
    <mergeCell ref="D22:D23"/>
    <mergeCell ref="E22:E23"/>
    <mergeCell ref="F22:N22"/>
    <mergeCell ref="B7:E7"/>
    <mergeCell ref="F7:G7"/>
    <mergeCell ref="H7:J7"/>
    <mergeCell ref="A1:N1"/>
    <mergeCell ref="A2:N2"/>
    <mergeCell ref="A3:C3"/>
    <mergeCell ref="B5:E5"/>
    <mergeCell ref="H5:I5"/>
  </mergeCells>
  <hyperlinks>
    <hyperlink ref="A3" location="'Fact Sheet of VDC'!A1" display="&lt;&lt;Back"/>
  </hyperlinks>
  <pageMargins left="0.23622047244094491" right="0.15748031496062992" top="0.74803149606299213" bottom="0.74803149606299213" header="0.31496062992125984" footer="0.31496062992125984"/>
  <pageSetup paperSize="9"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36"/>
  <sheetViews>
    <sheetView zoomScale="90" zoomScaleNormal="90" workbookViewId="0">
      <selection activeCell="A3" sqref="A3:C3"/>
    </sheetView>
  </sheetViews>
  <sheetFormatPr defaultRowHeight="15"/>
  <cols>
    <col min="1" max="1" width="46.5703125" style="248" bestFit="1" customWidth="1"/>
    <col min="2" max="2" width="10.42578125" style="248" customWidth="1"/>
    <col min="3" max="3" width="13.7109375" style="248" bestFit="1" customWidth="1"/>
    <col min="4" max="4" width="11.85546875" style="248" customWidth="1"/>
    <col min="5" max="5" width="17.7109375" style="248" customWidth="1"/>
    <col min="6" max="6" width="14" style="248" customWidth="1"/>
    <col min="7" max="7" width="14.140625" style="248" customWidth="1"/>
    <col min="8" max="8" width="13.140625" style="248" customWidth="1"/>
    <col min="9" max="9" width="13" style="248" customWidth="1"/>
    <col min="10" max="10" width="14.140625" style="248" bestFit="1" customWidth="1"/>
    <col min="11" max="11" width="9.7109375" style="248" customWidth="1"/>
    <col min="12" max="12" width="11.140625" style="248" customWidth="1"/>
    <col min="13" max="13" width="10.28515625" style="248" customWidth="1"/>
    <col min="14" max="14" width="9.28515625" style="248" bestFit="1" customWidth="1"/>
    <col min="15" max="256" width="9.140625" style="248"/>
    <col min="257" max="257" width="46.5703125" style="248" bestFit="1" customWidth="1"/>
    <col min="258" max="258" width="10.42578125" style="248" customWidth="1"/>
    <col min="259" max="259" width="13.7109375" style="248" bestFit="1" customWidth="1"/>
    <col min="260" max="260" width="11.85546875" style="248" customWidth="1"/>
    <col min="261" max="261" width="17.7109375" style="248" customWidth="1"/>
    <col min="262" max="262" width="14" style="248" customWidth="1"/>
    <col min="263" max="263" width="14.140625" style="248" customWidth="1"/>
    <col min="264" max="264" width="13.140625" style="248" customWidth="1"/>
    <col min="265" max="265" width="13" style="248" customWidth="1"/>
    <col min="266" max="266" width="14.140625" style="248" bestFit="1" customWidth="1"/>
    <col min="267" max="267" width="9.7109375" style="248" customWidth="1"/>
    <col min="268" max="268" width="11.140625" style="248" customWidth="1"/>
    <col min="269" max="269" width="10.28515625" style="248" customWidth="1"/>
    <col min="270" max="270" width="9.28515625" style="248" bestFit="1" customWidth="1"/>
    <col min="271" max="512" width="9.140625" style="248"/>
    <col min="513" max="513" width="46.5703125" style="248" bestFit="1" customWidth="1"/>
    <col min="514" max="514" width="10.42578125" style="248" customWidth="1"/>
    <col min="515" max="515" width="13.7109375" style="248" bestFit="1" customWidth="1"/>
    <col min="516" max="516" width="11.85546875" style="248" customWidth="1"/>
    <col min="517" max="517" width="17.7109375" style="248" customWidth="1"/>
    <col min="518" max="518" width="14" style="248" customWidth="1"/>
    <col min="519" max="519" width="14.140625" style="248" customWidth="1"/>
    <col min="520" max="520" width="13.140625" style="248" customWidth="1"/>
    <col min="521" max="521" width="13" style="248" customWidth="1"/>
    <col min="522" max="522" width="14.140625" style="248" bestFit="1" customWidth="1"/>
    <col min="523" max="523" width="9.7109375" style="248" customWidth="1"/>
    <col min="524" max="524" width="11.140625" style="248" customWidth="1"/>
    <col min="525" max="525" width="10.28515625" style="248" customWidth="1"/>
    <col min="526" max="526" width="9.28515625" style="248" bestFit="1" customWidth="1"/>
    <col min="527" max="768" width="9.140625" style="248"/>
    <col min="769" max="769" width="46.5703125" style="248" bestFit="1" customWidth="1"/>
    <col min="770" max="770" width="10.42578125" style="248" customWidth="1"/>
    <col min="771" max="771" width="13.7109375" style="248" bestFit="1" customWidth="1"/>
    <col min="772" max="772" width="11.85546875" style="248" customWidth="1"/>
    <col min="773" max="773" width="17.7109375" style="248" customWidth="1"/>
    <col min="774" max="774" width="14" style="248" customWidth="1"/>
    <col min="775" max="775" width="14.140625" style="248" customWidth="1"/>
    <col min="776" max="776" width="13.140625" style="248" customWidth="1"/>
    <col min="777" max="777" width="13" style="248" customWidth="1"/>
    <col min="778" max="778" width="14.140625" style="248" bestFit="1" customWidth="1"/>
    <col min="779" max="779" width="9.7109375" style="248" customWidth="1"/>
    <col min="780" max="780" width="11.140625" style="248" customWidth="1"/>
    <col min="781" max="781" width="10.28515625" style="248" customWidth="1"/>
    <col min="782" max="782" width="9.28515625" style="248" bestFit="1" customWidth="1"/>
    <col min="783" max="1024" width="9.140625" style="248"/>
    <col min="1025" max="1025" width="46.5703125" style="248" bestFit="1" customWidth="1"/>
    <col min="1026" max="1026" width="10.42578125" style="248" customWidth="1"/>
    <col min="1027" max="1027" width="13.7109375" style="248" bestFit="1" customWidth="1"/>
    <col min="1028" max="1028" width="11.85546875" style="248" customWidth="1"/>
    <col min="1029" max="1029" width="17.7109375" style="248" customWidth="1"/>
    <col min="1030" max="1030" width="14" style="248" customWidth="1"/>
    <col min="1031" max="1031" width="14.140625" style="248" customWidth="1"/>
    <col min="1032" max="1032" width="13.140625" style="248" customWidth="1"/>
    <col min="1033" max="1033" width="13" style="248" customWidth="1"/>
    <col min="1034" max="1034" width="14.140625" style="248" bestFit="1" customWidth="1"/>
    <col min="1035" max="1035" width="9.7109375" style="248" customWidth="1"/>
    <col min="1036" max="1036" width="11.140625" style="248" customWidth="1"/>
    <col min="1037" max="1037" width="10.28515625" style="248" customWidth="1"/>
    <col min="1038" max="1038" width="9.28515625" style="248" bestFit="1" customWidth="1"/>
    <col min="1039" max="1280" width="9.140625" style="248"/>
    <col min="1281" max="1281" width="46.5703125" style="248" bestFit="1" customWidth="1"/>
    <col min="1282" max="1282" width="10.42578125" style="248" customWidth="1"/>
    <col min="1283" max="1283" width="13.7109375" style="248" bestFit="1" customWidth="1"/>
    <col min="1284" max="1284" width="11.85546875" style="248" customWidth="1"/>
    <col min="1285" max="1285" width="17.7109375" style="248" customWidth="1"/>
    <col min="1286" max="1286" width="14" style="248" customWidth="1"/>
    <col min="1287" max="1287" width="14.140625" style="248" customWidth="1"/>
    <col min="1288" max="1288" width="13.140625" style="248" customWidth="1"/>
    <col min="1289" max="1289" width="13" style="248" customWidth="1"/>
    <col min="1290" max="1290" width="14.140625" style="248" bestFit="1" customWidth="1"/>
    <col min="1291" max="1291" width="9.7109375" style="248" customWidth="1"/>
    <col min="1292" max="1292" width="11.140625" style="248" customWidth="1"/>
    <col min="1293" max="1293" width="10.28515625" style="248" customWidth="1"/>
    <col min="1294" max="1294" width="9.28515625" style="248" bestFit="1" customWidth="1"/>
    <col min="1295" max="1536" width="9.140625" style="248"/>
    <col min="1537" max="1537" width="46.5703125" style="248" bestFit="1" customWidth="1"/>
    <col min="1538" max="1538" width="10.42578125" style="248" customWidth="1"/>
    <col min="1539" max="1539" width="13.7109375" style="248" bestFit="1" customWidth="1"/>
    <col min="1540" max="1540" width="11.85546875" style="248" customWidth="1"/>
    <col min="1541" max="1541" width="17.7109375" style="248" customWidth="1"/>
    <col min="1542" max="1542" width="14" style="248" customWidth="1"/>
    <col min="1543" max="1543" width="14.140625" style="248" customWidth="1"/>
    <col min="1544" max="1544" width="13.140625" style="248" customWidth="1"/>
    <col min="1545" max="1545" width="13" style="248" customWidth="1"/>
    <col min="1546" max="1546" width="14.140625" style="248" bestFit="1" customWidth="1"/>
    <col min="1547" max="1547" width="9.7109375" style="248" customWidth="1"/>
    <col min="1548" max="1548" width="11.140625" style="248" customWidth="1"/>
    <col min="1549" max="1549" width="10.28515625" style="248" customWidth="1"/>
    <col min="1550" max="1550" width="9.28515625" style="248" bestFit="1" customWidth="1"/>
    <col min="1551" max="1792" width="9.140625" style="248"/>
    <col min="1793" max="1793" width="46.5703125" style="248" bestFit="1" customWidth="1"/>
    <col min="1794" max="1794" width="10.42578125" style="248" customWidth="1"/>
    <col min="1795" max="1795" width="13.7109375" style="248" bestFit="1" customWidth="1"/>
    <col min="1796" max="1796" width="11.85546875" style="248" customWidth="1"/>
    <col min="1797" max="1797" width="17.7109375" style="248" customWidth="1"/>
    <col min="1798" max="1798" width="14" style="248" customWidth="1"/>
    <col min="1799" max="1799" width="14.140625" style="248" customWidth="1"/>
    <col min="1800" max="1800" width="13.140625" style="248" customWidth="1"/>
    <col min="1801" max="1801" width="13" style="248" customWidth="1"/>
    <col min="1802" max="1802" width="14.140625" style="248" bestFit="1" customWidth="1"/>
    <col min="1803" max="1803" width="9.7109375" style="248" customWidth="1"/>
    <col min="1804" max="1804" width="11.140625" style="248" customWidth="1"/>
    <col min="1805" max="1805" width="10.28515625" style="248" customWidth="1"/>
    <col min="1806" max="1806" width="9.28515625" style="248" bestFit="1" customWidth="1"/>
    <col min="1807" max="2048" width="9.140625" style="248"/>
    <col min="2049" max="2049" width="46.5703125" style="248" bestFit="1" customWidth="1"/>
    <col min="2050" max="2050" width="10.42578125" style="248" customWidth="1"/>
    <col min="2051" max="2051" width="13.7109375" style="248" bestFit="1" customWidth="1"/>
    <col min="2052" max="2052" width="11.85546875" style="248" customWidth="1"/>
    <col min="2053" max="2053" width="17.7109375" style="248" customWidth="1"/>
    <col min="2054" max="2054" width="14" style="248" customWidth="1"/>
    <col min="2055" max="2055" width="14.140625" style="248" customWidth="1"/>
    <col min="2056" max="2056" width="13.140625" style="248" customWidth="1"/>
    <col min="2057" max="2057" width="13" style="248" customWidth="1"/>
    <col min="2058" max="2058" width="14.140625" style="248" bestFit="1" customWidth="1"/>
    <col min="2059" max="2059" width="9.7109375" style="248" customWidth="1"/>
    <col min="2060" max="2060" width="11.140625" style="248" customWidth="1"/>
    <col min="2061" max="2061" width="10.28515625" style="248" customWidth="1"/>
    <col min="2062" max="2062" width="9.28515625" style="248" bestFit="1" customWidth="1"/>
    <col min="2063" max="2304" width="9.140625" style="248"/>
    <col min="2305" max="2305" width="46.5703125" style="248" bestFit="1" customWidth="1"/>
    <col min="2306" max="2306" width="10.42578125" style="248" customWidth="1"/>
    <col min="2307" max="2307" width="13.7109375" style="248" bestFit="1" customWidth="1"/>
    <col min="2308" max="2308" width="11.85546875" style="248" customWidth="1"/>
    <col min="2309" max="2309" width="17.7109375" style="248" customWidth="1"/>
    <col min="2310" max="2310" width="14" style="248" customWidth="1"/>
    <col min="2311" max="2311" width="14.140625" style="248" customWidth="1"/>
    <col min="2312" max="2312" width="13.140625" style="248" customWidth="1"/>
    <col min="2313" max="2313" width="13" style="248" customWidth="1"/>
    <col min="2314" max="2314" width="14.140625" style="248" bestFit="1" customWidth="1"/>
    <col min="2315" max="2315" width="9.7109375" style="248" customWidth="1"/>
    <col min="2316" max="2316" width="11.140625" style="248" customWidth="1"/>
    <col min="2317" max="2317" width="10.28515625" style="248" customWidth="1"/>
    <col min="2318" max="2318" width="9.28515625" style="248" bestFit="1" customWidth="1"/>
    <col min="2319" max="2560" width="9.140625" style="248"/>
    <col min="2561" max="2561" width="46.5703125" style="248" bestFit="1" customWidth="1"/>
    <col min="2562" max="2562" width="10.42578125" style="248" customWidth="1"/>
    <col min="2563" max="2563" width="13.7109375" style="248" bestFit="1" customWidth="1"/>
    <col min="2564" max="2564" width="11.85546875" style="248" customWidth="1"/>
    <col min="2565" max="2565" width="17.7109375" style="248" customWidth="1"/>
    <col min="2566" max="2566" width="14" style="248" customWidth="1"/>
    <col min="2567" max="2567" width="14.140625" style="248" customWidth="1"/>
    <col min="2568" max="2568" width="13.140625" style="248" customWidth="1"/>
    <col min="2569" max="2569" width="13" style="248" customWidth="1"/>
    <col min="2570" max="2570" width="14.140625" style="248" bestFit="1" customWidth="1"/>
    <col min="2571" max="2571" width="9.7109375" style="248" customWidth="1"/>
    <col min="2572" max="2572" width="11.140625" style="248" customWidth="1"/>
    <col min="2573" max="2573" width="10.28515625" style="248" customWidth="1"/>
    <col min="2574" max="2574" width="9.28515625" style="248" bestFit="1" customWidth="1"/>
    <col min="2575" max="2816" width="9.140625" style="248"/>
    <col min="2817" max="2817" width="46.5703125" style="248" bestFit="1" customWidth="1"/>
    <col min="2818" max="2818" width="10.42578125" style="248" customWidth="1"/>
    <col min="2819" max="2819" width="13.7109375" style="248" bestFit="1" customWidth="1"/>
    <col min="2820" max="2820" width="11.85546875" style="248" customWidth="1"/>
    <col min="2821" max="2821" width="17.7109375" style="248" customWidth="1"/>
    <col min="2822" max="2822" width="14" style="248" customWidth="1"/>
    <col min="2823" max="2823" width="14.140625" style="248" customWidth="1"/>
    <col min="2824" max="2824" width="13.140625" style="248" customWidth="1"/>
    <col min="2825" max="2825" width="13" style="248" customWidth="1"/>
    <col min="2826" max="2826" width="14.140625" style="248" bestFit="1" customWidth="1"/>
    <col min="2827" max="2827" width="9.7109375" style="248" customWidth="1"/>
    <col min="2828" max="2828" width="11.140625" style="248" customWidth="1"/>
    <col min="2829" max="2829" width="10.28515625" style="248" customWidth="1"/>
    <col min="2830" max="2830" width="9.28515625" style="248" bestFit="1" customWidth="1"/>
    <col min="2831" max="3072" width="9.140625" style="248"/>
    <col min="3073" max="3073" width="46.5703125" style="248" bestFit="1" customWidth="1"/>
    <col min="3074" max="3074" width="10.42578125" style="248" customWidth="1"/>
    <col min="3075" max="3075" width="13.7109375" style="248" bestFit="1" customWidth="1"/>
    <col min="3076" max="3076" width="11.85546875" style="248" customWidth="1"/>
    <col min="3077" max="3077" width="17.7109375" style="248" customWidth="1"/>
    <col min="3078" max="3078" width="14" style="248" customWidth="1"/>
    <col min="3079" max="3079" width="14.140625" style="248" customWidth="1"/>
    <col min="3080" max="3080" width="13.140625" style="248" customWidth="1"/>
    <col min="3081" max="3081" width="13" style="248" customWidth="1"/>
    <col min="3082" max="3082" width="14.140625" style="248" bestFit="1" customWidth="1"/>
    <col min="3083" max="3083" width="9.7109375" style="248" customWidth="1"/>
    <col min="3084" max="3084" width="11.140625" style="248" customWidth="1"/>
    <col min="3085" max="3085" width="10.28515625" style="248" customWidth="1"/>
    <col min="3086" max="3086" width="9.28515625" style="248" bestFit="1" customWidth="1"/>
    <col min="3087" max="3328" width="9.140625" style="248"/>
    <col min="3329" max="3329" width="46.5703125" style="248" bestFit="1" customWidth="1"/>
    <col min="3330" max="3330" width="10.42578125" style="248" customWidth="1"/>
    <col min="3331" max="3331" width="13.7109375" style="248" bestFit="1" customWidth="1"/>
    <col min="3332" max="3332" width="11.85546875" style="248" customWidth="1"/>
    <col min="3333" max="3333" width="17.7109375" style="248" customWidth="1"/>
    <col min="3334" max="3334" width="14" style="248" customWidth="1"/>
    <col min="3335" max="3335" width="14.140625" style="248" customWidth="1"/>
    <col min="3336" max="3336" width="13.140625" style="248" customWidth="1"/>
    <col min="3337" max="3337" width="13" style="248" customWidth="1"/>
    <col min="3338" max="3338" width="14.140625" style="248" bestFit="1" customWidth="1"/>
    <col min="3339" max="3339" width="9.7109375" style="248" customWidth="1"/>
    <col min="3340" max="3340" width="11.140625" style="248" customWidth="1"/>
    <col min="3341" max="3341" width="10.28515625" style="248" customWidth="1"/>
    <col min="3342" max="3342" width="9.28515625" style="248" bestFit="1" customWidth="1"/>
    <col min="3343" max="3584" width="9.140625" style="248"/>
    <col min="3585" max="3585" width="46.5703125" style="248" bestFit="1" customWidth="1"/>
    <col min="3586" max="3586" width="10.42578125" style="248" customWidth="1"/>
    <col min="3587" max="3587" width="13.7109375" style="248" bestFit="1" customWidth="1"/>
    <col min="3588" max="3588" width="11.85546875" style="248" customWidth="1"/>
    <col min="3589" max="3589" width="17.7109375" style="248" customWidth="1"/>
    <col min="3590" max="3590" width="14" style="248" customWidth="1"/>
    <col min="3591" max="3591" width="14.140625" style="248" customWidth="1"/>
    <col min="3592" max="3592" width="13.140625" style="248" customWidth="1"/>
    <col min="3593" max="3593" width="13" style="248" customWidth="1"/>
    <col min="3594" max="3594" width="14.140625" style="248" bestFit="1" customWidth="1"/>
    <col min="3595" max="3595" width="9.7109375" style="248" customWidth="1"/>
    <col min="3596" max="3596" width="11.140625" style="248" customWidth="1"/>
    <col min="3597" max="3597" width="10.28515625" style="248" customWidth="1"/>
    <col min="3598" max="3598" width="9.28515625" style="248" bestFit="1" customWidth="1"/>
    <col min="3599" max="3840" width="9.140625" style="248"/>
    <col min="3841" max="3841" width="46.5703125" style="248" bestFit="1" customWidth="1"/>
    <col min="3842" max="3842" width="10.42578125" style="248" customWidth="1"/>
    <col min="3843" max="3843" width="13.7109375" style="248" bestFit="1" customWidth="1"/>
    <col min="3844" max="3844" width="11.85546875" style="248" customWidth="1"/>
    <col min="3845" max="3845" width="17.7109375" style="248" customWidth="1"/>
    <col min="3846" max="3846" width="14" style="248" customWidth="1"/>
    <col min="3847" max="3847" width="14.140625" style="248" customWidth="1"/>
    <col min="3848" max="3848" width="13.140625" style="248" customWidth="1"/>
    <col min="3849" max="3849" width="13" style="248" customWidth="1"/>
    <col min="3850" max="3850" width="14.140625" style="248" bestFit="1" customWidth="1"/>
    <col min="3851" max="3851" width="9.7109375" style="248" customWidth="1"/>
    <col min="3852" max="3852" width="11.140625" style="248" customWidth="1"/>
    <col min="3853" max="3853" width="10.28515625" style="248" customWidth="1"/>
    <col min="3854" max="3854" width="9.28515625" style="248" bestFit="1" customWidth="1"/>
    <col min="3855" max="4096" width="9.140625" style="248"/>
    <col min="4097" max="4097" width="46.5703125" style="248" bestFit="1" customWidth="1"/>
    <col min="4098" max="4098" width="10.42578125" style="248" customWidth="1"/>
    <col min="4099" max="4099" width="13.7109375" style="248" bestFit="1" customWidth="1"/>
    <col min="4100" max="4100" width="11.85546875" style="248" customWidth="1"/>
    <col min="4101" max="4101" width="17.7109375" style="248" customWidth="1"/>
    <col min="4102" max="4102" width="14" style="248" customWidth="1"/>
    <col min="4103" max="4103" width="14.140625" style="248" customWidth="1"/>
    <col min="4104" max="4104" width="13.140625" style="248" customWidth="1"/>
    <col min="4105" max="4105" width="13" style="248" customWidth="1"/>
    <col min="4106" max="4106" width="14.140625" style="248" bestFit="1" customWidth="1"/>
    <col min="4107" max="4107" width="9.7109375" style="248" customWidth="1"/>
    <col min="4108" max="4108" width="11.140625" style="248" customWidth="1"/>
    <col min="4109" max="4109" width="10.28515625" style="248" customWidth="1"/>
    <col min="4110" max="4110" width="9.28515625" style="248" bestFit="1" customWidth="1"/>
    <col min="4111" max="4352" width="9.140625" style="248"/>
    <col min="4353" max="4353" width="46.5703125" style="248" bestFit="1" customWidth="1"/>
    <col min="4354" max="4354" width="10.42578125" style="248" customWidth="1"/>
    <col min="4355" max="4355" width="13.7109375" style="248" bestFit="1" customWidth="1"/>
    <col min="4356" max="4356" width="11.85546875" style="248" customWidth="1"/>
    <col min="4357" max="4357" width="17.7109375" style="248" customWidth="1"/>
    <col min="4358" max="4358" width="14" style="248" customWidth="1"/>
    <col min="4359" max="4359" width="14.140625" style="248" customWidth="1"/>
    <col min="4360" max="4360" width="13.140625" style="248" customWidth="1"/>
    <col min="4361" max="4361" width="13" style="248" customWidth="1"/>
    <col min="4362" max="4362" width="14.140625" style="248" bestFit="1" customWidth="1"/>
    <col min="4363" max="4363" width="9.7109375" style="248" customWidth="1"/>
    <col min="4364" max="4364" width="11.140625" style="248" customWidth="1"/>
    <col min="4365" max="4365" width="10.28515625" style="248" customWidth="1"/>
    <col min="4366" max="4366" width="9.28515625" style="248" bestFit="1" customWidth="1"/>
    <col min="4367" max="4608" width="9.140625" style="248"/>
    <col min="4609" max="4609" width="46.5703125" style="248" bestFit="1" customWidth="1"/>
    <col min="4610" max="4610" width="10.42578125" style="248" customWidth="1"/>
    <col min="4611" max="4611" width="13.7109375" style="248" bestFit="1" customWidth="1"/>
    <col min="4612" max="4612" width="11.85546875" style="248" customWidth="1"/>
    <col min="4613" max="4613" width="17.7109375" style="248" customWidth="1"/>
    <col min="4614" max="4614" width="14" style="248" customWidth="1"/>
    <col min="4615" max="4615" width="14.140625" style="248" customWidth="1"/>
    <col min="4616" max="4616" width="13.140625" style="248" customWidth="1"/>
    <col min="4617" max="4617" width="13" style="248" customWidth="1"/>
    <col min="4618" max="4618" width="14.140625" style="248" bestFit="1" customWidth="1"/>
    <col min="4619" max="4619" width="9.7109375" style="248" customWidth="1"/>
    <col min="4620" max="4620" width="11.140625" style="248" customWidth="1"/>
    <col min="4621" max="4621" width="10.28515625" style="248" customWidth="1"/>
    <col min="4622" max="4622" width="9.28515625" style="248" bestFit="1" customWidth="1"/>
    <col min="4623" max="4864" width="9.140625" style="248"/>
    <col min="4865" max="4865" width="46.5703125" style="248" bestFit="1" customWidth="1"/>
    <col min="4866" max="4866" width="10.42578125" style="248" customWidth="1"/>
    <col min="4867" max="4867" width="13.7109375" style="248" bestFit="1" customWidth="1"/>
    <col min="4868" max="4868" width="11.85546875" style="248" customWidth="1"/>
    <col min="4869" max="4869" width="17.7109375" style="248" customWidth="1"/>
    <col min="4870" max="4870" width="14" style="248" customWidth="1"/>
    <col min="4871" max="4871" width="14.140625" style="248" customWidth="1"/>
    <col min="4872" max="4872" width="13.140625" style="248" customWidth="1"/>
    <col min="4873" max="4873" width="13" style="248" customWidth="1"/>
    <col min="4874" max="4874" width="14.140625" style="248" bestFit="1" customWidth="1"/>
    <col min="4875" max="4875" width="9.7109375" style="248" customWidth="1"/>
    <col min="4876" max="4876" width="11.140625" style="248" customWidth="1"/>
    <col min="4877" max="4877" width="10.28515625" style="248" customWidth="1"/>
    <col min="4878" max="4878" width="9.28515625" style="248" bestFit="1" customWidth="1"/>
    <col min="4879" max="5120" width="9.140625" style="248"/>
    <col min="5121" max="5121" width="46.5703125" style="248" bestFit="1" customWidth="1"/>
    <col min="5122" max="5122" width="10.42578125" style="248" customWidth="1"/>
    <col min="5123" max="5123" width="13.7109375" style="248" bestFit="1" customWidth="1"/>
    <col min="5124" max="5124" width="11.85546875" style="248" customWidth="1"/>
    <col min="5125" max="5125" width="17.7109375" style="248" customWidth="1"/>
    <col min="5126" max="5126" width="14" style="248" customWidth="1"/>
    <col min="5127" max="5127" width="14.140625" style="248" customWidth="1"/>
    <col min="5128" max="5128" width="13.140625" style="248" customWidth="1"/>
    <col min="5129" max="5129" width="13" style="248" customWidth="1"/>
    <col min="5130" max="5130" width="14.140625" style="248" bestFit="1" customWidth="1"/>
    <col min="5131" max="5131" width="9.7109375" style="248" customWidth="1"/>
    <col min="5132" max="5132" width="11.140625" style="248" customWidth="1"/>
    <col min="5133" max="5133" width="10.28515625" style="248" customWidth="1"/>
    <col min="5134" max="5134" width="9.28515625" style="248" bestFit="1" customWidth="1"/>
    <col min="5135" max="5376" width="9.140625" style="248"/>
    <col min="5377" max="5377" width="46.5703125" style="248" bestFit="1" customWidth="1"/>
    <col min="5378" max="5378" width="10.42578125" style="248" customWidth="1"/>
    <col min="5379" max="5379" width="13.7109375" style="248" bestFit="1" customWidth="1"/>
    <col min="5380" max="5380" width="11.85546875" style="248" customWidth="1"/>
    <col min="5381" max="5381" width="17.7109375" style="248" customWidth="1"/>
    <col min="5382" max="5382" width="14" style="248" customWidth="1"/>
    <col min="5383" max="5383" width="14.140625" style="248" customWidth="1"/>
    <col min="5384" max="5384" width="13.140625" style="248" customWidth="1"/>
    <col min="5385" max="5385" width="13" style="248" customWidth="1"/>
    <col min="5386" max="5386" width="14.140625" style="248" bestFit="1" customWidth="1"/>
    <col min="5387" max="5387" width="9.7109375" style="248" customWidth="1"/>
    <col min="5388" max="5388" width="11.140625" style="248" customWidth="1"/>
    <col min="5389" max="5389" width="10.28515625" style="248" customWidth="1"/>
    <col min="5390" max="5390" width="9.28515625" style="248" bestFit="1" customWidth="1"/>
    <col min="5391" max="5632" width="9.140625" style="248"/>
    <col min="5633" max="5633" width="46.5703125" style="248" bestFit="1" customWidth="1"/>
    <col min="5634" max="5634" width="10.42578125" style="248" customWidth="1"/>
    <col min="5635" max="5635" width="13.7109375" style="248" bestFit="1" customWidth="1"/>
    <col min="5636" max="5636" width="11.85546875" style="248" customWidth="1"/>
    <col min="5637" max="5637" width="17.7109375" style="248" customWidth="1"/>
    <col min="5638" max="5638" width="14" style="248" customWidth="1"/>
    <col min="5639" max="5639" width="14.140625" style="248" customWidth="1"/>
    <col min="5640" max="5640" width="13.140625" style="248" customWidth="1"/>
    <col min="5641" max="5641" width="13" style="248" customWidth="1"/>
    <col min="5642" max="5642" width="14.140625" style="248" bestFit="1" customWidth="1"/>
    <col min="5643" max="5643" width="9.7109375" style="248" customWidth="1"/>
    <col min="5644" max="5644" width="11.140625" style="248" customWidth="1"/>
    <col min="5645" max="5645" width="10.28515625" style="248" customWidth="1"/>
    <col min="5646" max="5646" width="9.28515625" style="248" bestFit="1" customWidth="1"/>
    <col min="5647" max="5888" width="9.140625" style="248"/>
    <col min="5889" max="5889" width="46.5703125" style="248" bestFit="1" customWidth="1"/>
    <col min="5890" max="5890" width="10.42578125" style="248" customWidth="1"/>
    <col min="5891" max="5891" width="13.7109375" style="248" bestFit="1" customWidth="1"/>
    <col min="5892" max="5892" width="11.85546875" style="248" customWidth="1"/>
    <col min="5893" max="5893" width="17.7109375" style="248" customWidth="1"/>
    <col min="5894" max="5894" width="14" style="248" customWidth="1"/>
    <col min="5895" max="5895" width="14.140625" style="248" customWidth="1"/>
    <col min="5896" max="5896" width="13.140625" style="248" customWidth="1"/>
    <col min="5897" max="5897" width="13" style="248" customWidth="1"/>
    <col min="5898" max="5898" width="14.140625" style="248" bestFit="1" customWidth="1"/>
    <col min="5899" max="5899" width="9.7109375" style="248" customWidth="1"/>
    <col min="5900" max="5900" width="11.140625" style="248" customWidth="1"/>
    <col min="5901" max="5901" width="10.28515625" style="248" customWidth="1"/>
    <col min="5902" max="5902" width="9.28515625" style="248" bestFit="1" customWidth="1"/>
    <col min="5903" max="6144" width="9.140625" style="248"/>
    <col min="6145" max="6145" width="46.5703125" style="248" bestFit="1" customWidth="1"/>
    <col min="6146" max="6146" width="10.42578125" style="248" customWidth="1"/>
    <col min="6147" max="6147" width="13.7109375" style="248" bestFit="1" customWidth="1"/>
    <col min="6148" max="6148" width="11.85546875" style="248" customWidth="1"/>
    <col min="6149" max="6149" width="17.7109375" style="248" customWidth="1"/>
    <col min="6150" max="6150" width="14" style="248" customWidth="1"/>
    <col min="6151" max="6151" width="14.140625" style="248" customWidth="1"/>
    <col min="6152" max="6152" width="13.140625" style="248" customWidth="1"/>
    <col min="6153" max="6153" width="13" style="248" customWidth="1"/>
    <col min="6154" max="6154" width="14.140625" style="248" bestFit="1" customWidth="1"/>
    <col min="6155" max="6155" width="9.7109375" style="248" customWidth="1"/>
    <col min="6156" max="6156" width="11.140625" style="248" customWidth="1"/>
    <col min="6157" max="6157" width="10.28515625" style="248" customWidth="1"/>
    <col min="6158" max="6158" width="9.28515625" style="248" bestFit="1" customWidth="1"/>
    <col min="6159" max="6400" width="9.140625" style="248"/>
    <col min="6401" max="6401" width="46.5703125" style="248" bestFit="1" customWidth="1"/>
    <col min="6402" max="6402" width="10.42578125" style="248" customWidth="1"/>
    <col min="6403" max="6403" width="13.7109375" style="248" bestFit="1" customWidth="1"/>
    <col min="6404" max="6404" width="11.85546875" style="248" customWidth="1"/>
    <col min="6405" max="6405" width="17.7109375" style="248" customWidth="1"/>
    <col min="6406" max="6406" width="14" style="248" customWidth="1"/>
    <col min="6407" max="6407" width="14.140625" style="248" customWidth="1"/>
    <col min="6408" max="6408" width="13.140625" style="248" customWidth="1"/>
    <col min="6409" max="6409" width="13" style="248" customWidth="1"/>
    <col min="6410" max="6410" width="14.140625" style="248" bestFit="1" customWidth="1"/>
    <col min="6411" max="6411" width="9.7109375" style="248" customWidth="1"/>
    <col min="6412" max="6412" width="11.140625" style="248" customWidth="1"/>
    <col min="6413" max="6413" width="10.28515625" style="248" customWidth="1"/>
    <col min="6414" max="6414" width="9.28515625" style="248" bestFit="1" customWidth="1"/>
    <col min="6415" max="6656" width="9.140625" style="248"/>
    <col min="6657" max="6657" width="46.5703125" style="248" bestFit="1" customWidth="1"/>
    <col min="6658" max="6658" width="10.42578125" style="248" customWidth="1"/>
    <col min="6659" max="6659" width="13.7109375" style="248" bestFit="1" customWidth="1"/>
    <col min="6660" max="6660" width="11.85546875" style="248" customWidth="1"/>
    <col min="6661" max="6661" width="17.7109375" style="248" customWidth="1"/>
    <col min="6662" max="6662" width="14" style="248" customWidth="1"/>
    <col min="6663" max="6663" width="14.140625" style="248" customWidth="1"/>
    <col min="6664" max="6664" width="13.140625" style="248" customWidth="1"/>
    <col min="6665" max="6665" width="13" style="248" customWidth="1"/>
    <col min="6666" max="6666" width="14.140625" style="248" bestFit="1" customWidth="1"/>
    <col min="6667" max="6667" width="9.7109375" style="248" customWidth="1"/>
    <col min="6668" max="6668" width="11.140625" style="248" customWidth="1"/>
    <col min="6669" max="6669" width="10.28515625" style="248" customWidth="1"/>
    <col min="6670" max="6670" width="9.28515625" style="248" bestFit="1" customWidth="1"/>
    <col min="6671" max="6912" width="9.140625" style="248"/>
    <col min="6913" max="6913" width="46.5703125" style="248" bestFit="1" customWidth="1"/>
    <col min="6914" max="6914" width="10.42578125" style="248" customWidth="1"/>
    <col min="6915" max="6915" width="13.7109375" style="248" bestFit="1" customWidth="1"/>
    <col min="6916" max="6916" width="11.85546875" style="248" customWidth="1"/>
    <col min="6917" max="6917" width="17.7109375" style="248" customWidth="1"/>
    <col min="6918" max="6918" width="14" style="248" customWidth="1"/>
    <col min="6919" max="6919" width="14.140625" style="248" customWidth="1"/>
    <col min="6920" max="6920" width="13.140625" style="248" customWidth="1"/>
    <col min="6921" max="6921" width="13" style="248" customWidth="1"/>
    <col min="6922" max="6922" width="14.140625" style="248" bestFit="1" customWidth="1"/>
    <col min="6923" max="6923" width="9.7109375" style="248" customWidth="1"/>
    <col min="6924" max="6924" width="11.140625" style="248" customWidth="1"/>
    <col min="6925" max="6925" width="10.28515625" style="248" customWidth="1"/>
    <col min="6926" max="6926" width="9.28515625" style="248" bestFit="1" customWidth="1"/>
    <col min="6927" max="7168" width="9.140625" style="248"/>
    <col min="7169" max="7169" width="46.5703125" style="248" bestFit="1" customWidth="1"/>
    <col min="7170" max="7170" width="10.42578125" style="248" customWidth="1"/>
    <col min="7171" max="7171" width="13.7109375" style="248" bestFit="1" customWidth="1"/>
    <col min="7172" max="7172" width="11.85546875" style="248" customWidth="1"/>
    <col min="7173" max="7173" width="17.7109375" style="248" customWidth="1"/>
    <col min="7174" max="7174" width="14" style="248" customWidth="1"/>
    <col min="7175" max="7175" width="14.140625" style="248" customWidth="1"/>
    <col min="7176" max="7176" width="13.140625" style="248" customWidth="1"/>
    <col min="7177" max="7177" width="13" style="248" customWidth="1"/>
    <col min="7178" max="7178" width="14.140625" style="248" bestFit="1" customWidth="1"/>
    <col min="7179" max="7179" width="9.7109375" style="248" customWidth="1"/>
    <col min="7180" max="7180" width="11.140625" style="248" customWidth="1"/>
    <col min="7181" max="7181" width="10.28515625" style="248" customWidth="1"/>
    <col min="7182" max="7182" width="9.28515625" style="248" bestFit="1" customWidth="1"/>
    <col min="7183" max="7424" width="9.140625" style="248"/>
    <col min="7425" max="7425" width="46.5703125" style="248" bestFit="1" customWidth="1"/>
    <col min="7426" max="7426" width="10.42578125" style="248" customWidth="1"/>
    <col min="7427" max="7427" width="13.7109375" style="248" bestFit="1" customWidth="1"/>
    <col min="7428" max="7428" width="11.85546875" style="248" customWidth="1"/>
    <col min="7429" max="7429" width="17.7109375" style="248" customWidth="1"/>
    <col min="7430" max="7430" width="14" style="248" customWidth="1"/>
    <col min="7431" max="7431" width="14.140625" style="248" customWidth="1"/>
    <col min="7432" max="7432" width="13.140625" style="248" customWidth="1"/>
    <col min="7433" max="7433" width="13" style="248" customWidth="1"/>
    <col min="7434" max="7434" width="14.140625" style="248" bestFit="1" customWidth="1"/>
    <col min="7435" max="7435" width="9.7109375" style="248" customWidth="1"/>
    <col min="7436" max="7436" width="11.140625" style="248" customWidth="1"/>
    <col min="7437" max="7437" width="10.28515625" style="248" customWidth="1"/>
    <col min="7438" max="7438" width="9.28515625" style="248" bestFit="1" customWidth="1"/>
    <col min="7439" max="7680" width="9.140625" style="248"/>
    <col min="7681" max="7681" width="46.5703125" style="248" bestFit="1" customWidth="1"/>
    <col min="7682" max="7682" width="10.42578125" style="248" customWidth="1"/>
    <col min="7683" max="7683" width="13.7109375" style="248" bestFit="1" customWidth="1"/>
    <col min="7684" max="7684" width="11.85546875" style="248" customWidth="1"/>
    <col min="7685" max="7685" width="17.7109375" style="248" customWidth="1"/>
    <col min="7686" max="7686" width="14" style="248" customWidth="1"/>
    <col min="7687" max="7687" width="14.140625" style="248" customWidth="1"/>
    <col min="7688" max="7688" width="13.140625" style="248" customWidth="1"/>
    <col min="7689" max="7689" width="13" style="248" customWidth="1"/>
    <col min="7690" max="7690" width="14.140625" style="248" bestFit="1" customWidth="1"/>
    <col min="7691" max="7691" width="9.7109375" style="248" customWidth="1"/>
    <col min="7692" max="7692" width="11.140625" style="248" customWidth="1"/>
    <col min="7693" max="7693" width="10.28515625" style="248" customWidth="1"/>
    <col min="7694" max="7694" width="9.28515625" style="248" bestFit="1" customWidth="1"/>
    <col min="7695" max="7936" width="9.140625" style="248"/>
    <col min="7937" max="7937" width="46.5703125" style="248" bestFit="1" customWidth="1"/>
    <col min="7938" max="7938" width="10.42578125" style="248" customWidth="1"/>
    <col min="7939" max="7939" width="13.7109375" style="248" bestFit="1" customWidth="1"/>
    <col min="7940" max="7940" width="11.85546875" style="248" customWidth="1"/>
    <col min="7941" max="7941" width="17.7109375" style="248" customWidth="1"/>
    <col min="7942" max="7942" width="14" style="248" customWidth="1"/>
    <col min="7943" max="7943" width="14.140625" style="248" customWidth="1"/>
    <col min="7944" max="7944" width="13.140625" style="248" customWidth="1"/>
    <col min="7945" max="7945" width="13" style="248" customWidth="1"/>
    <col min="7946" max="7946" width="14.140625" style="248" bestFit="1" customWidth="1"/>
    <col min="7947" max="7947" width="9.7109375" style="248" customWidth="1"/>
    <col min="7948" max="7948" width="11.140625" style="248" customWidth="1"/>
    <col min="7949" max="7949" width="10.28515625" style="248" customWidth="1"/>
    <col min="7950" max="7950" width="9.28515625" style="248" bestFit="1" customWidth="1"/>
    <col min="7951" max="8192" width="9.140625" style="248"/>
    <col min="8193" max="8193" width="46.5703125" style="248" bestFit="1" customWidth="1"/>
    <col min="8194" max="8194" width="10.42578125" style="248" customWidth="1"/>
    <col min="8195" max="8195" width="13.7109375" style="248" bestFit="1" customWidth="1"/>
    <col min="8196" max="8196" width="11.85546875" style="248" customWidth="1"/>
    <col min="8197" max="8197" width="17.7109375" style="248" customWidth="1"/>
    <col min="8198" max="8198" width="14" style="248" customWidth="1"/>
    <col min="8199" max="8199" width="14.140625" style="248" customWidth="1"/>
    <col min="8200" max="8200" width="13.140625" style="248" customWidth="1"/>
    <col min="8201" max="8201" width="13" style="248" customWidth="1"/>
    <col min="8202" max="8202" width="14.140625" style="248" bestFit="1" customWidth="1"/>
    <col min="8203" max="8203" width="9.7109375" style="248" customWidth="1"/>
    <col min="8204" max="8204" width="11.140625" style="248" customWidth="1"/>
    <col min="8205" max="8205" width="10.28515625" style="248" customWidth="1"/>
    <col min="8206" max="8206" width="9.28515625" style="248" bestFit="1" customWidth="1"/>
    <col min="8207" max="8448" width="9.140625" style="248"/>
    <col min="8449" max="8449" width="46.5703125" style="248" bestFit="1" customWidth="1"/>
    <col min="8450" max="8450" width="10.42578125" style="248" customWidth="1"/>
    <col min="8451" max="8451" width="13.7109375" style="248" bestFit="1" customWidth="1"/>
    <col min="8452" max="8452" width="11.85546875" style="248" customWidth="1"/>
    <col min="8453" max="8453" width="17.7109375" style="248" customWidth="1"/>
    <col min="8454" max="8454" width="14" style="248" customWidth="1"/>
    <col min="8455" max="8455" width="14.140625" style="248" customWidth="1"/>
    <col min="8456" max="8456" width="13.140625" style="248" customWidth="1"/>
    <col min="8457" max="8457" width="13" style="248" customWidth="1"/>
    <col min="8458" max="8458" width="14.140625" style="248" bestFit="1" customWidth="1"/>
    <col min="8459" max="8459" width="9.7109375" style="248" customWidth="1"/>
    <col min="8460" max="8460" width="11.140625" style="248" customWidth="1"/>
    <col min="8461" max="8461" width="10.28515625" style="248" customWidth="1"/>
    <col min="8462" max="8462" width="9.28515625" style="248" bestFit="1" customWidth="1"/>
    <col min="8463" max="8704" width="9.140625" style="248"/>
    <col min="8705" max="8705" width="46.5703125" style="248" bestFit="1" customWidth="1"/>
    <col min="8706" max="8706" width="10.42578125" style="248" customWidth="1"/>
    <col min="8707" max="8707" width="13.7109375" style="248" bestFit="1" customWidth="1"/>
    <col min="8708" max="8708" width="11.85546875" style="248" customWidth="1"/>
    <col min="8709" max="8709" width="17.7109375" style="248" customWidth="1"/>
    <col min="8710" max="8710" width="14" style="248" customWidth="1"/>
    <col min="8711" max="8711" width="14.140625" style="248" customWidth="1"/>
    <col min="8712" max="8712" width="13.140625" style="248" customWidth="1"/>
    <col min="8713" max="8713" width="13" style="248" customWidth="1"/>
    <col min="8714" max="8714" width="14.140625" style="248" bestFit="1" customWidth="1"/>
    <col min="8715" max="8715" width="9.7109375" style="248" customWidth="1"/>
    <col min="8716" max="8716" width="11.140625" style="248" customWidth="1"/>
    <col min="8717" max="8717" width="10.28515625" style="248" customWidth="1"/>
    <col min="8718" max="8718" width="9.28515625" style="248" bestFit="1" customWidth="1"/>
    <col min="8719" max="8960" width="9.140625" style="248"/>
    <col min="8961" max="8961" width="46.5703125" style="248" bestFit="1" customWidth="1"/>
    <col min="8962" max="8962" width="10.42578125" style="248" customWidth="1"/>
    <col min="8963" max="8963" width="13.7109375" style="248" bestFit="1" customWidth="1"/>
    <col min="8964" max="8964" width="11.85546875" style="248" customWidth="1"/>
    <col min="8965" max="8965" width="17.7109375" style="248" customWidth="1"/>
    <col min="8966" max="8966" width="14" style="248" customWidth="1"/>
    <col min="8967" max="8967" width="14.140625" style="248" customWidth="1"/>
    <col min="8968" max="8968" width="13.140625" style="248" customWidth="1"/>
    <col min="8969" max="8969" width="13" style="248" customWidth="1"/>
    <col min="8970" max="8970" width="14.140625" style="248" bestFit="1" customWidth="1"/>
    <col min="8971" max="8971" width="9.7109375" style="248" customWidth="1"/>
    <col min="8972" max="8972" width="11.140625" style="248" customWidth="1"/>
    <col min="8973" max="8973" width="10.28515625" style="248" customWidth="1"/>
    <col min="8974" max="8974" width="9.28515625" style="248" bestFit="1" customWidth="1"/>
    <col min="8975" max="9216" width="9.140625" style="248"/>
    <col min="9217" max="9217" width="46.5703125" style="248" bestFit="1" customWidth="1"/>
    <col min="9218" max="9218" width="10.42578125" style="248" customWidth="1"/>
    <col min="9219" max="9219" width="13.7109375" style="248" bestFit="1" customWidth="1"/>
    <col min="9220" max="9220" width="11.85546875" style="248" customWidth="1"/>
    <col min="9221" max="9221" width="17.7109375" style="248" customWidth="1"/>
    <col min="9222" max="9222" width="14" style="248" customWidth="1"/>
    <col min="9223" max="9223" width="14.140625" style="248" customWidth="1"/>
    <col min="9224" max="9224" width="13.140625" style="248" customWidth="1"/>
    <col min="9225" max="9225" width="13" style="248" customWidth="1"/>
    <col min="9226" max="9226" width="14.140625" style="248" bestFit="1" customWidth="1"/>
    <col min="9227" max="9227" width="9.7109375" style="248" customWidth="1"/>
    <col min="9228" max="9228" width="11.140625" style="248" customWidth="1"/>
    <col min="9229" max="9229" width="10.28515625" style="248" customWidth="1"/>
    <col min="9230" max="9230" width="9.28515625" style="248" bestFit="1" customWidth="1"/>
    <col min="9231" max="9472" width="9.140625" style="248"/>
    <col min="9473" max="9473" width="46.5703125" style="248" bestFit="1" customWidth="1"/>
    <col min="9474" max="9474" width="10.42578125" style="248" customWidth="1"/>
    <col min="9475" max="9475" width="13.7109375" style="248" bestFit="1" customWidth="1"/>
    <col min="9476" max="9476" width="11.85546875" style="248" customWidth="1"/>
    <col min="9477" max="9477" width="17.7109375" style="248" customWidth="1"/>
    <col min="9478" max="9478" width="14" style="248" customWidth="1"/>
    <col min="9479" max="9479" width="14.140625" style="248" customWidth="1"/>
    <col min="9480" max="9480" width="13.140625" style="248" customWidth="1"/>
    <col min="9481" max="9481" width="13" style="248" customWidth="1"/>
    <col min="9482" max="9482" width="14.140625" style="248" bestFit="1" customWidth="1"/>
    <col min="9483" max="9483" width="9.7109375" style="248" customWidth="1"/>
    <col min="9484" max="9484" width="11.140625" style="248" customWidth="1"/>
    <col min="9485" max="9485" width="10.28515625" style="248" customWidth="1"/>
    <col min="9486" max="9486" width="9.28515625" style="248" bestFit="1" customWidth="1"/>
    <col min="9487" max="9728" width="9.140625" style="248"/>
    <col min="9729" max="9729" width="46.5703125" style="248" bestFit="1" customWidth="1"/>
    <col min="9730" max="9730" width="10.42578125" style="248" customWidth="1"/>
    <col min="9731" max="9731" width="13.7109375" style="248" bestFit="1" customWidth="1"/>
    <col min="9732" max="9732" width="11.85546875" style="248" customWidth="1"/>
    <col min="9733" max="9733" width="17.7109375" style="248" customWidth="1"/>
    <col min="9734" max="9734" width="14" style="248" customWidth="1"/>
    <col min="9735" max="9735" width="14.140625" style="248" customWidth="1"/>
    <col min="9736" max="9736" width="13.140625" style="248" customWidth="1"/>
    <col min="9737" max="9737" width="13" style="248" customWidth="1"/>
    <col min="9738" max="9738" width="14.140625" style="248" bestFit="1" customWidth="1"/>
    <col min="9739" max="9739" width="9.7109375" style="248" customWidth="1"/>
    <col min="9740" max="9740" width="11.140625" style="248" customWidth="1"/>
    <col min="9741" max="9741" width="10.28515625" style="248" customWidth="1"/>
    <col min="9742" max="9742" width="9.28515625" style="248" bestFit="1" customWidth="1"/>
    <col min="9743" max="9984" width="9.140625" style="248"/>
    <col min="9985" max="9985" width="46.5703125" style="248" bestFit="1" customWidth="1"/>
    <col min="9986" max="9986" width="10.42578125" style="248" customWidth="1"/>
    <col min="9987" max="9987" width="13.7109375" style="248" bestFit="1" customWidth="1"/>
    <col min="9988" max="9988" width="11.85546875" style="248" customWidth="1"/>
    <col min="9989" max="9989" width="17.7109375" style="248" customWidth="1"/>
    <col min="9990" max="9990" width="14" style="248" customWidth="1"/>
    <col min="9991" max="9991" width="14.140625" style="248" customWidth="1"/>
    <col min="9992" max="9992" width="13.140625" style="248" customWidth="1"/>
    <col min="9993" max="9993" width="13" style="248" customWidth="1"/>
    <col min="9994" max="9994" width="14.140625" style="248" bestFit="1" customWidth="1"/>
    <col min="9995" max="9995" width="9.7109375" style="248" customWidth="1"/>
    <col min="9996" max="9996" width="11.140625" style="248" customWidth="1"/>
    <col min="9997" max="9997" width="10.28515625" style="248" customWidth="1"/>
    <col min="9998" max="9998" width="9.28515625" style="248" bestFit="1" customWidth="1"/>
    <col min="9999" max="10240" width="9.140625" style="248"/>
    <col min="10241" max="10241" width="46.5703125" style="248" bestFit="1" customWidth="1"/>
    <col min="10242" max="10242" width="10.42578125" style="248" customWidth="1"/>
    <col min="10243" max="10243" width="13.7109375" style="248" bestFit="1" customWidth="1"/>
    <col min="10244" max="10244" width="11.85546875" style="248" customWidth="1"/>
    <col min="10245" max="10245" width="17.7109375" style="248" customWidth="1"/>
    <col min="10246" max="10246" width="14" style="248" customWidth="1"/>
    <col min="10247" max="10247" width="14.140625" style="248" customWidth="1"/>
    <col min="10248" max="10248" width="13.140625" style="248" customWidth="1"/>
    <col min="10249" max="10249" width="13" style="248" customWidth="1"/>
    <col min="10250" max="10250" width="14.140625" style="248" bestFit="1" customWidth="1"/>
    <col min="10251" max="10251" width="9.7109375" style="248" customWidth="1"/>
    <col min="10252" max="10252" width="11.140625" style="248" customWidth="1"/>
    <col min="10253" max="10253" width="10.28515625" style="248" customWidth="1"/>
    <col min="10254" max="10254" width="9.28515625" style="248" bestFit="1" customWidth="1"/>
    <col min="10255" max="10496" width="9.140625" style="248"/>
    <col min="10497" max="10497" width="46.5703125" style="248" bestFit="1" customWidth="1"/>
    <col min="10498" max="10498" width="10.42578125" style="248" customWidth="1"/>
    <col min="10499" max="10499" width="13.7109375" style="248" bestFit="1" customWidth="1"/>
    <col min="10500" max="10500" width="11.85546875" style="248" customWidth="1"/>
    <col min="10501" max="10501" width="17.7109375" style="248" customWidth="1"/>
    <col min="10502" max="10502" width="14" style="248" customWidth="1"/>
    <col min="10503" max="10503" width="14.140625" style="248" customWidth="1"/>
    <col min="10504" max="10504" width="13.140625" style="248" customWidth="1"/>
    <col min="10505" max="10505" width="13" style="248" customWidth="1"/>
    <col min="10506" max="10506" width="14.140625" style="248" bestFit="1" customWidth="1"/>
    <col min="10507" max="10507" width="9.7109375" style="248" customWidth="1"/>
    <col min="10508" max="10508" width="11.140625" style="248" customWidth="1"/>
    <col min="10509" max="10509" width="10.28515625" style="248" customWidth="1"/>
    <col min="10510" max="10510" width="9.28515625" style="248" bestFit="1" customWidth="1"/>
    <col min="10511" max="10752" width="9.140625" style="248"/>
    <col min="10753" max="10753" width="46.5703125" style="248" bestFit="1" customWidth="1"/>
    <col min="10754" max="10754" width="10.42578125" style="248" customWidth="1"/>
    <col min="10755" max="10755" width="13.7109375" style="248" bestFit="1" customWidth="1"/>
    <col min="10756" max="10756" width="11.85546875" style="248" customWidth="1"/>
    <col min="10757" max="10757" width="17.7109375" style="248" customWidth="1"/>
    <col min="10758" max="10758" width="14" style="248" customWidth="1"/>
    <col min="10759" max="10759" width="14.140625" style="248" customWidth="1"/>
    <col min="10760" max="10760" width="13.140625" style="248" customWidth="1"/>
    <col min="10761" max="10761" width="13" style="248" customWidth="1"/>
    <col min="10762" max="10762" width="14.140625" style="248" bestFit="1" customWidth="1"/>
    <col min="10763" max="10763" width="9.7109375" style="248" customWidth="1"/>
    <col min="10764" max="10764" width="11.140625" style="248" customWidth="1"/>
    <col min="10765" max="10765" width="10.28515625" style="248" customWidth="1"/>
    <col min="10766" max="10766" width="9.28515625" style="248" bestFit="1" customWidth="1"/>
    <col min="10767" max="11008" width="9.140625" style="248"/>
    <col min="11009" max="11009" width="46.5703125" style="248" bestFit="1" customWidth="1"/>
    <col min="11010" max="11010" width="10.42578125" style="248" customWidth="1"/>
    <col min="11011" max="11011" width="13.7109375" style="248" bestFit="1" customWidth="1"/>
    <col min="11012" max="11012" width="11.85546875" style="248" customWidth="1"/>
    <col min="11013" max="11013" width="17.7109375" style="248" customWidth="1"/>
    <col min="11014" max="11014" width="14" style="248" customWidth="1"/>
    <col min="11015" max="11015" width="14.140625" style="248" customWidth="1"/>
    <col min="11016" max="11016" width="13.140625" style="248" customWidth="1"/>
    <col min="11017" max="11017" width="13" style="248" customWidth="1"/>
    <col min="11018" max="11018" width="14.140625" style="248" bestFit="1" customWidth="1"/>
    <col min="11019" max="11019" width="9.7109375" style="248" customWidth="1"/>
    <col min="11020" max="11020" width="11.140625" style="248" customWidth="1"/>
    <col min="11021" max="11021" width="10.28515625" style="248" customWidth="1"/>
    <col min="11022" max="11022" width="9.28515625" style="248" bestFit="1" customWidth="1"/>
    <col min="11023" max="11264" width="9.140625" style="248"/>
    <col min="11265" max="11265" width="46.5703125" style="248" bestFit="1" customWidth="1"/>
    <col min="11266" max="11266" width="10.42578125" style="248" customWidth="1"/>
    <col min="11267" max="11267" width="13.7109375" style="248" bestFit="1" customWidth="1"/>
    <col min="11268" max="11268" width="11.85546875" style="248" customWidth="1"/>
    <col min="11269" max="11269" width="17.7109375" style="248" customWidth="1"/>
    <col min="11270" max="11270" width="14" style="248" customWidth="1"/>
    <col min="11271" max="11271" width="14.140625" style="248" customWidth="1"/>
    <col min="11272" max="11272" width="13.140625" style="248" customWidth="1"/>
    <col min="11273" max="11273" width="13" style="248" customWidth="1"/>
    <col min="11274" max="11274" width="14.140625" style="248" bestFit="1" customWidth="1"/>
    <col min="11275" max="11275" width="9.7109375" style="248" customWidth="1"/>
    <col min="11276" max="11276" width="11.140625" style="248" customWidth="1"/>
    <col min="11277" max="11277" width="10.28515625" style="248" customWidth="1"/>
    <col min="11278" max="11278" width="9.28515625" style="248" bestFit="1" customWidth="1"/>
    <col min="11279" max="11520" width="9.140625" style="248"/>
    <col min="11521" max="11521" width="46.5703125" style="248" bestFit="1" customWidth="1"/>
    <col min="11522" max="11522" width="10.42578125" style="248" customWidth="1"/>
    <col min="11523" max="11523" width="13.7109375" style="248" bestFit="1" customWidth="1"/>
    <col min="11524" max="11524" width="11.85546875" style="248" customWidth="1"/>
    <col min="11525" max="11525" width="17.7109375" style="248" customWidth="1"/>
    <col min="11526" max="11526" width="14" style="248" customWidth="1"/>
    <col min="11527" max="11527" width="14.140625" style="248" customWidth="1"/>
    <col min="11528" max="11528" width="13.140625" style="248" customWidth="1"/>
    <col min="11529" max="11529" width="13" style="248" customWidth="1"/>
    <col min="11530" max="11530" width="14.140625" style="248" bestFit="1" customWidth="1"/>
    <col min="11531" max="11531" width="9.7109375" style="248" customWidth="1"/>
    <col min="11532" max="11532" width="11.140625" style="248" customWidth="1"/>
    <col min="11533" max="11533" width="10.28515625" style="248" customWidth="1"/>
    <col min="11534" max="11534" width="9.28515625" style="248" bestFit="1" customWidth="1"/>
    <col min="11535" max="11776" width="9.140625" style="248"/>
    <col min="11777" max="11777" width="46.5703125" style="248" bestFit="1" customWidth="1"/>
    <col min="11778" max="11778" width="10.42578125" style="248" customWidth="1"/>
    <col min="11779" max="11779" width="13.7109375" style="248" bestFit="1" customWidth="1"/>
    <col min="11780" max="11780" width="11.85546875" style="248" customWidth="1"/>
    <col min="11781" max="11781" width="17.7109375" style="248" customWidth="1"/>
    <col min="11782" max="11782" width="14" style="248" customWidth="1"/>
    <col min="11783" max="11783" width="14.140625" style="248" customWidth="1"/>
    <col min="11784" max="11784" width="13.140625" style="248" customWidth="1"/>
    <col min="11785" max="11785" width="13" style="248" customWidth="1"/>
    <col min="11786" max="11786" width="14.140625" style="248" bestFit="1" customWidth="1"/>
    <col min="11787" max="11787" width="9.7109375" style="248" customWidth="1"/>
    <col min="11788" max="11788" width="11.140625" style="248" customWidth="1"/>
    <col min="11789" max="11789" width="10.28515625" style="248" customWidth="1"/>
    <col min="11790" max="11790" width="9.28515625" style="248" bestFit="1" customWidth="1"/>
    <col min="11791" max="12032" width="9.140625" style="248"/>
    <col min="12033" max="12033" width="46.5703125" style="248" bestFit="1" customWidth="1"/>
    <col min="12034" max="12034" width="10.42578125" style="248" customWidth="1"/>
    <col min="12035" max="12035" width="13.7109375" style="248" bestFit="1" customWidth="1"/>
    <col min="12036" max="12036" width="11.85546875" style="248" customWidth="1"/>
    <col min="12037" max="12037" width="17.7109375" style="248" customWidth="1"/>
    <col min="12038" max="12038" width="14" style="248" customWidth="1"/>
    <col min="12039" max="12039" width="14.140625" style="248" customWidth="1"/>
    <col min="12040" max="12040" width="13.140625" style="248" customWidth="1"/>
    <col min="12041" max="12041" width="13" style="248" customWidth="1"/>
    <col min="12042" max="12042" width="14.140625" style="248" bestFit="1" customWidth="1"/>
    <col min="12043" max="12043" width="9.7109375" style="248" customWidth="1"/>
    <col min="12044" max="12044" width="11.140625" style="248" customWidth="1"/>
    <col min="12045" max="12045" width="10.28515625" style="248" customWidth="1"/>
    <col min="12046" max="12046" width="9.28515625" style="248" bestFit="1" customWidth="1"/>
    <col min="12047" max="12288" width="9.140625" style="248"/>
    <col min="12289" max="12289" width="46.5703125" style="248" bestFit="1" customWidth="1"/>
    <col min="12290" max="12290" width="10.42578125" style="248" customWidth="1"/>
    <col min="12291" max="12291" width="13.7109375" style="248" bestFit="1" customWidth="1"/>
    <col min="12292" max="12292" width="11.85546875" style="248" customWidth="1"/>
    <col min="12293" max="12293" width="17.7109375" style="248" customWidth="1"/>
    <col min="12294" max="12294" width="14" style="248" customWidth="1"/>
    <col min="12295" max="12295" width="14.140625" style="248" customWidth="1"/>
    <col min="12296" max="12296" width="13.140625" style="248" customWidth="1"/>
    <col min="12297" max="12297" width="13" style="248" customWidth="1"/>
    <col min="12298" max="12298" width="14.140625" style="248" bestFit="1" customWidth="1"/>
    <col min="12299" max="12299" width="9.7109375" style="248" customWidth="1"/>
    <col min="12300" max="12300" width="11.140625" style="248" customWidth="1"/>
    <col min="12301" max="12301" width="10.28515625" style="248" customWidth="1"/>
    <col min="12302" max="12302" width="9.28515625" style="248" bestFit="1" customWidth="1"/>
    <col min="12303" max="12544" width="9.140625" style="248"/>
    <col min="12545" max="12545" width="46.5703125" style="248" bestFit="1" customWidth="1"/>
    <col min="12546" max="12546" width="10.42578125" style="248" customWidth="1"/>
    <col min="12547" max="12547" width="13.7109375" style="248" bestFit="1" customWidth="1"/>
    <col min="12548" max="12548" width="11.85546875" style="248" customWidth="1"/>
    <col min="12549" max="12549" width="17.7109375" style="248" customWidth="1"/>
    <col min="12550" max="12550" width="14" style="248" customWidth="1"/>
    <col min="12551" max="12551" width="14.140625" style="248" customWidth="1"/>
    <col min="12552" max="12552" width="13.140625" style="248" customWidth="1"/>
    <col min="12553" max="12553" width="13" style="248" customWidth="1"/>
    <col min="12554" max="12554" width="14.140625" style="248" bestFit="1" customWidth="1"/>
    <col min="12555" max="12555" width="9.7109375" style="248" customWidth="1"/>
    <col min="12556" max="12556" width="11.140625" style="248" customWidth="1"/>
    <col min="12557" max="12557" width="10.28515625" style="248" customWidth="1"/>
    <col min="12558" max="12558" width="9.28515625" style="248" bestFit="1" customWidth="1"/>
    <col min="12559" max="12800" width="9.140625" style="248"/>
    <col min="12801" max="12801" width="46.5703125" style="248" bestFit="1" customWidth="1"/>
    <col min="12802" max="12802" width="10.42578125" style="248" customWidth="1"/>
    <col min="12803" max="12803" width="13.7109375" style="248" bestFit="1" customWidth="1"/>
    <col min="12804" max="12804" width="11.85546875" style="248" customWidth="1"/>
    <col min="12805" max="12805" width="17.7109375" style="248" customWidth="1"/>
    <col min="12806" max="12806" width="14" style="248" customWidth="1"/>
    <col min="12807" max="12807" width="14.140625" style="248" customWidth="1"/>
    <col min="12808" max="12808" width="13.140625" style="248" customWidth="1"/>
    <col min="12809" max="12809" width="13" style="248" customWidth="1"/>
    <col min="12810" max="12810" width="14.140625" style="248" bestFit="1" customWidth="1"/>
    <col min="12811" max="12811" width="9.7109375" style="248" customWidth="1"/>
    <col min="12812" max="12812" width="11.140625" style="248" customWidth="1"/>
    <col min="12813" max="12813" width="10.28515625" style="248" customWidth="1"/>
    <col min="12814" max="12814" width="9.28515625" style="248" bestFit="1" customWidth="1"/>
    <col min="12815" max="13056" width="9.140625" style="248"/>
    <col min="13057" max="13057" width="46.5703125" style="248" bestFit="1" customWidth="1"/>
    <col min="13058" max="13058" width="10.42578125" style="248" customWidth="1"/>
    <col min="13059" max="13059" width="13.7109375" style="248" bestFit="1" customWidth="1"/>
    <col min="13060" max="13060" width="11.85546875" style="248" customWidth="1"/>
    <col min="13061" max="13061" width="17.7109375" style="248" customWidth="1"/>
    <col min="13062" max="13062" width="14" style="248" customWidth="1"/>
    <col min="13063" max="13063" width="14.140625" style="248" customWidth="1"/>
    <col min="13064" max="13064" width="13.140625" style="248" customWidth="1"/>
    <col min="13065" max="13065" width="13" style="248" customWidth="1"/>
    <col min="13066" max="13066" width="14.140625" style="248" bestFit="1" customWidth="1"/>
    <col min="13067" max="13067" width="9.7109375" style="248" customWidth="1"/>
    <col min="13068" max="13068" width="11.140625" style="248" customWidth="1"/>
    <col min="13069" max="13069" width="10.28515625" style="248" customWidth="1"/>
    <col min="13070" max="13070" width="9.28515625" style="248" bestFit="1" customWidth="1"/>
    <col min="13071" max="13312" width="9.140625" style="248"/>
    <col min="13313" max="13313" width="46.5703125" style="248" bestFit="1" customWidth="1"/>
    <col min="13314" max="13314" width="10.42578125" style="248" customWidth="1"/>
    <col min="13315" max="13315" width="13.7109375" style="248" bestFit="1" customWidth="1"/>
    <col min="13316" max="13316" width="11.85546875" style="248" customWidth="1"/>
    <col min="13317" max="13317" width="17.7109375" style="248" customWidth="1"/>
    <col min="13318" max="13318" width="14" style="248" customWidth="1"/>
    <col min="13319" max="13319" width="14.140625" style="248" customWidth="1"/>
    <col min="13320" max="13320" width="13.140625" style="248" customWidth="1"/>
    <col min="13321" max="13321" width="13" style="248" customWidth="1"/>
    <col min="13322" max="13322" width="14.140625" style="248" bestFit="1" customWidth="1"/>
    <col min="13323" max="13323" width="9.7109375" style="248" customWidth="1"/>
    <col min="13324" max="13324" width="11.140625" style="248" customWidth="1"/>
    <col min="13325" max="13325" width="10.28515625" style="248" customWidth="1"/>
    <col min="13326" max="13326" width="9.28515625" style="248" bestFit="1" customWidth="1"/>
    <col min="13327" max="13568" width="9.140625" style="248"/>
    <col min="13569" max="13569" width="46.5703125" style="248" bestFit="1" customWidth="1"/>
    <col min="13570" max="13570" width="10.42578125" style="248" customWidth="1"/>
    <col min="13571" max="13571" width="13.7109375" style="248" bestFit="1" customWidth="1"/>
    <col min="13572" max="13572" width="11.85546875" style="248" customWidth="1"/>
    <col min="13573" max="13573" width="17.7109375" style="248" customWidth="1"/>
    <col min="13574" max="13574" width="14" style="248" customWidth="1"/>
    <col min="13575" max="13575" width="14.140625" style="248" customWidth="1"/>
    <col min="13576" max="13576" width="13.140625" style="248" customWidth="1"/>
    <col min="13577" max="13577" width="13" style="248" customWidth="1"/>
    <col min="13578" max="13578" width="14.140625" style="248" bestFit="1" customWidth="1"/>
    <col min="13579" max="13579" width="9.7109375" style="248" customWidth="1"/>
    <col min="13580" max="13580" width="11.140625" style="248" customWidth="1"/>
    <col min="13581" max="13581" width="10.28515625" style="248" customWidth="1"/>
    <col min="13582" max="13582" width="9.28515625" style="248" bestFit="1" customWidth="1"/>
    <col min="13583" max="13824" width="9.140625" style="248"/>
    <col min="13825" max="13825" width="46.5703125" style="248" bestFit="1" customWidth="1"/>
    <col min="13826" max="13826" width="10.42578125" style="248" customWidth="1"/>
    <col min="13827" max="13827" width="13.7109375" style="248" bestFit="1" customWidth="1"/>
    <col min="13828" max="13828" width="11.85546875" style="248" customWidth="1"/>
    <col min="13829" max="13829" width="17.7109375" style="248" customWidth="1"/>
    <col min="13830" max="13830" width="14" style="248" customWidth="1"/>
    <col min="13831" max="13831" width="14.140625" style="248" customWidth="1"/>
    <col min="13832" max="13832" width="13.140625" style="248" customWidth="1"/>
    <col min="13833" max="13833" width="13" style="248" customWidth="1"/>
    <col min="13834" max="13834" width="14.140625" style="248" bestFit="1" customWidth="1"/>
    <col min="13835" max="13835" width="9.7109375" style="248" customWidth="1"/>
    <col min="13836" max="13836" width="11.140625" style="248" customWidth="1"/>
    <col min="13837" max="13837" width="10.28515625" style="248" customWidth="1"/>
    <col min="13838" max="13838" width="9.28515625" style="248" bestFit="1" customWidth="1"/>
    <col min="13839" max="14080" width="9.140625" style="248"/>
    <col min="14081" max="14081" width="46.5703125" style="248" bestFit="1" customWidth="1"/>
    <col min="14082" max="14082" width="10.42578125" style="248" customWidth="1"/>
    <col min="14083" max="14083" width="13.7109375" style="248" bestFit="1" customWidth="1"/>
    <col min="14084" max="14084" width="11.85546875" style="248" customWidth="1"/>
    <col min="14085" max="14085" width="17.7109375" style="248" customWidth="1"/>
    <col min="14086" max="14086" width="14" style="248" customWidth="1"/>
    <col min="14087" max="14087" width="14.140625" style="248" customWidth="1"/>
    <col min="14088" max="14088" width="13.140625" style="248" customWidth="1"/>
    <col min="14089" max="14089" width="13" style="248" customWidth="1"/>
    <col min="14090" max="14090" width="14.140625" style="248" bestFit="1" customWidth="1"/>
    <col min="14091" max="14091" width="9.7109375" style="248" customWidth="1"/>
    <col min="14092" max="14092" width="11.140625" style="248" customWidth="1"/>
    <col min="14093" max="14093" width="10.28515625" style="248" customWidth="1"/>
    <col min="14094" max="14094" width="9.28515625" style="248" bestFit="1" customWidth="1"/>
    <col min="14095" max="14336" width="9.140625" style="248"/>
    <col min="14337" max="14337" width="46.5703125" style="248" bestFit="1" customWidth="1"/>
    <col min="14338" max="14338" width="10.42578125" style="248" customWidth="1"/>
    <col min="14339" max="14339" width="13.7109375" style="248" bestFit="1" customWidth="1"/>
    <col min="14340" max="14340" width="11.85546875" style="248" customWidth="1"/>
    <col min="14341" max="14341" width="17.7109375" style="248" customWidth="1"/>
    <col min="14342" max="14342" width="14" style="248" customWidth="1"/>
    <col min="14343" max="14343" width="14.140625" style="248" customWidth="1"/>
    <col min="14344" max="14344" width="13.140625" style="248" customWidth="1"/>
    <col min="14345" max="14345" width="13" style="248" customWidth="1"/>
    <col min="14346" max="14346" width="14.140625" style="248" bestFit="1" customWidth="1"/>
    <col min="14347" max="14347" width="9.7109375" style="248" customWidth="1"/>
    <col min="14348" max="14348" width="11.140625" style="248" customWidth="1"/>
    <col min="14349" max="14349" width="10.28515625" style="248" customWidth="1"/>
    <col min="14350" max="14350" width="9.28515625" style="248" bestFit="1" customWidth="1"/>
    <col min="14351" max="14592" width="9.140625" style="248"/>
    <col min="14593" max="14593" width="46.5703125" style="248" bestFit="1" customWidth="1"/>
    <col min="14594" max="14594" width="10.42578125" style="248" customWidth="1"/>
    <col min="14595" max="14595" width="13.7109375" style="248" bestFit="1" customWidth="1"/>
    <col min="14596" max="14596" width="11.85546875" style="248" customWidth="1"/>
    <col min="14597" max="14597" width="17.7109375" style="248" customWidth="1"/>
    <col min="14598" max="14598" width="14" style="248" customWidth="1"/>
    <col min="14599" max="14599" width="14.140625" style="248" customWidth="1"/>
    <col min="14600" max="14600" width="13.140625" style="248" customWidth="1"/>
    <col min="14601" max="14601" width="13" style="248" customWidth="1"/>
    <col min="14602" max="14602" width="14.140625" style="248" bestFit="1" customWidth="1"/>
    <col min="14603" max="14603" width="9.7109375" style="248" customWidth="1"/>
    <col min="14604" max="14604" width="11.140625" style="248" customWidth="1"/>
    <col min="14605" max="14605" width="10.28515625" style="248" customWidth="1"/>
    <col min="14606" max="14606" width="9.28515625" style="248" bestFit="1" customWidth="1"/>
    <col min="14607" max="14848" width="9.140625" style="248"/>
    <col min="14849" max="14849" width="46.5703125" style="248" bestFit="1" customWidth="1"/>
    <col min="14850" max="14850" width="10.42578125" style="248" customWidth="1"/>
    <col min="14851" max="14851" width="13.7109375" style="248" bestFit="1" customWidth="1"/>
    <col min="14852" max="14852" width="11.85546875" style="248" customWidth="1"/>
    <col min="14853" max="14853" width="17.7109375" style="248" customWidth="1"/>
    <col min="14854" max="14854" width="14" style="248" customWidth="1"/>
    <col min="14855" max="14855" width="14.140625" style="248" customWidth="1"/>
    <col min="14856" max="14856" width="13.140625" style="248" customWidth="1"/>
    <col min="14857" max="14857" width="13" style="248" customWidth="1"/>
    <col min="14858" max="14858" width="14.140625" style="248" bestFit="1" customWidth="1"/>
    <col min="14859" max="14859" width="9.7109375" style="248" customWidth="1"/>
    <col min="14860" max="14860" width="11.140625" style="248" customWidth="1"/>
    <col min="14861" max="14861" width="10.28515625" style="248" customWidth="1"/>
    <col min="14862" max="14862" width="9.28515625" style="248" bestFit="1" customWidth="1"/>
    <col min="14863" max="15104" width="9.140625" style="248"/>
    <col min="15105" max="15105" width="46.5703125" style="248" bestFit="1" customWidth="1"/>
    <col min="15106" max="15106" width="10.42578125" style="248" customWidth="1"/>
    <col min="15107" max="15107" width="13.7109375" style="248" bestFit="1" customWidth="1"/>
    <col min="15108" max="15108" width="11.85546875" style="248" customWidth="1"/>
    <col min="15109" max="15109" width="17.7109375" style="248" customWidth="1"/>
    <col min="15110" max="15110" width="14" style="248" customWidth="1"/>
    <col min="15111" max="15111" width="14.140625" style="248" customWidth="1"/>
    <col min="15112" max="15112" width="13.140625" style="248" customWidth="1"/>
    <col min="15113" max="15113" width="13" style="248" customWidth="1"/>
    <col min="15114" max="15114" width="14.140625" style="248" bestFit="1" customWidth="1"/>
    <col min="15115" max="15115" width="9.7109375" style="248" customWidth="1"/>
    <col min="15116" max="15116" width="11.140625" style="248" customWidth="1"/>
    <col min="15117" max="15117" width="10.28515625" style="248" customWidth="1"/>
    <col min="15118" max="15118" width="9.28515625" style="248" bestFit="1" customWidth="1"/>
    <col min="15119" max="15360" width="9.140625" style="248"/>
    <col min="15361" max="15361" width="46.5703125" style="248" bestFit="1" customWidth="1"/>
    <col min="15362" max="15362" width="10.42578125" style="248" customWidth="1"/>
    <col min="15363" max="15363" width="13.7109375" style="248" bestFit="1" customWidth="1"/>
    <col min="15364" max="15364" width="11.85546875" style="248" customWidth="1"/>
    <col min="15365" max="15365" width="17.7109375" style="248" customWidth="1"/>
    <col min="15366" max="15366" width="14" style="248" customWidth="1"/>
    <col min="15367" max="15367" width="14.140625" style="248" customWidth="1"/>
    <col min="15368" max="15368" width="13.140625" style="248" customWidth="1"/>
    <col min="15369" max="15369" width="13" style="248" customWidth="1"/>
    <col min="15370" max="15370" width="14.140625" style="248" bestFit="1" customWidth="1"/>
    <col min="15371" max="15371" width="9.7109375" style="248" customWidth="1"/>
    <col min="15372" max="15372" width="11.140625" style="248" customWidth="1"/>
    <col min="15373" max="15373" width="10.28515625" style="248" customWidth="1"/>
    <col min="15374" max="15374" width="9.28515625" style="248" bestFit="1" customWidth="1"/>
    <col min="15375" max="15616" width="9.140625" style="248"/>
    <col min="15617" max="15617" width="46.5703125" style="248" bestFit="1" customWidth="1"/>
    <col min="15618" max="15618" width="10.42578125" style="248" customWidth="1"/>
    <col min="15619" max="15619" width="13.7109375" style="248" bestFit="1" customWidth="1"/>
    <col min="15620" max="15620" width="11.85546875" style="248" customWidth="1"/>
    <col min="15621" max="15621" width="17.7109375" style="248" customWidth="1"/>
    <col min="15622" max="15622" width="14" style="248" customWidth="1"/>
    <col min="15623" max="15623" width="14.140625" style="248" customWidth="1"/>
    <col min="15624" max="15624" width="13.140625" style="248" customWidth="1"/>
    <col min="15625" max="15625" width="13" style="248" customWidth="1"/>
    <col min="15626" max="15626" width="14.140625" style="248" bestFit="1" customWidth="1"/>
    <col min="15627" max="15627" width="9.7109375" style="248" customWidth="1"/>
    <col min="15628" max="15628" width="11.140625" style="248" customWidth="1"/>
    <col min="15629" max="15629" width="10.28515625" style="248" customWidth="1"/>
    <col min="15630" max="15630" width="9.28515625" style="248" bestFit="1" customWidth="1"/>
    <col min="15631" max="15872" width="9.140625" style="248"/>
    <col min="15873" max="15873" width="46.5703125" style="248" bestFit="1" customWidth="1"/>
    <col min="15874" max="15874" width="10.42578125" style="248" customWidth="1"/>
    <col min="15875" max="15875" width="13.7109375" style="248" bestFit="1" customWidth="1"/>
    <col min="15876" max="15876" width="11.85546875" style="248" customWidth="1"/>
    <col min="15877" max="15877" width="17.7109375" style="248" customWidth="1"/>
    <col min="15878" max="15878" width="14" style="248" customWidth="1"/>
    <col min="15879" max="15879" width="14.140625" style="248" customWidth="1"/>
    <col min="15880" max="15880" width="13.140625" style="248" customWidth="1"/>
    <col min="15881" max="15881" width="13" style="248" customWidth="1"/>
    <col min="15882" max="15882" width="14.140625" style="248" bestFit="1" customWidth="1"/>
    <col min="15883" max="15883" width="9.7109375" style="248" customWidth="1"/>
    <col min="15884" max="15884" width="11.140625" style="248" customWidth="1"/>
    <col min="15885" max="15885" width="10.28515625" style="248" customWidth="1"/>
    <col min="15886" max="15886" width="9.28515625" style="248" bestFit="1" customWidth="1"/>
    <col min="15887" max="16128" width="9.140625" style="248"/>
    <col min="16129" max="16129" width="46.5703125" style="248" bestFit="1" customWidth="1"/>
    <col min="16130" max="16130" width="10.42578125" style="248" customWidth="1"/>
    <col min="16131" max="16131" width="13.7109375" style="248" bestFit="1" customWidth="1"/>
    <col min="16132" max="16132" width="11.85546875" style="248" customWidth="1"/>
    <col min="16133" max="16133" width="17.7109375" style="248" customWidth="1"/>
    <col min="16134" max="16134" width="14" style="248" customWidth="1"/>
    <col min="16135" max="16135" width="14.140625" style="248" customWidth="1"/>
    <col min="16136" max="16136" width="13.140625" style="248" customWidth="1"/>
    <col min="16137" max="16137" width="13" style="248" customWidth="1"/>
    <col min="16138" max="16138" width="14.140625" style="248" bestFit="1" customWidth="1"/>
    <col min="16139" max="16139" width="9.7109375" style="248" customWidth="1"/>
    <col min="16140" max="16140" width="11.140625" style="248" customWidth="1"/>
    <col min="16141" max="16141" width="10.28515625" style="248" customWidth="1"/>
    <col min="16142" max="16142" width="9.28515625" style="248" bestFit="1" customWidth="1"/>
    <col min="16143" max="16384" width="9.140625" style="248"/>
  </cols>
  <sheetData>
    <row r="1" spans="1:14" ht="18">
      <c r="A1" s="893" t="s">
        <v>31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</row>
    <row r="2" spans="1:14" ht="15.75">
      <c r="A2" s="894" t="s">
        <v>364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</row>
    <row r="3" spans="1:14" ht="15.75">
      <c r="A3" s="489" t="s">
        <v>585</v>
      </c>
      <c r="B3" s="489"/>
      <c r="C3" s="489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.7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1" customHeight="1">
      <c r="A5" s="252" t="s">
        <v>272</v>
      </c>
      <c r="B5" s="895" t="s">
        <v>365</v>
      </c>
      <c r="C5" s="895"/>
      <c r="D5" s="895"/>
      <c r="E5" s="895"/>
      <c r="F5" s="252" t="s">
        <v>344</v>
      </c>
      <c r="G5" s="252"/>
      <c r="H5" s="896">
        <v>10</v>
      </c>
      <c r="I5" s="896"/>
      <c r="J5" s="252" t="s">
        <v>32</v>
      </c>
      <c r="K5" s="364">
        <v>5000</v>
      </c>
      <c r="L5" s="252" t="s">
        <v>86</v>
      </c>
      <c r="M5" s="252"/>
      <c r="N5" s="364">
        <v>800</v>
      </c>
    </row>
    <row r="6" spans="1:14" ht="21" customHeight="1">
      <c r="A6" s="252"/>
      <c r="B6" s="254"/>
      <c r="C6" s="254"/>
      <c r="D6" s="254"/>
      <c r="E6" s="254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21" customHeight="1">
      <c r="A7" s="252" t="s">
        <v>347</v>
      </c>
      <c r="B7" s="889" t="s">
        <v>366</v>
      </c>
      <c r="C7" s="890"/>
      <c r="D7" s="890"/>
      <c r="E7" s="891"/>
      <c r="F7" s="892" t="s">
        <v>280</v>
      </c>
      <c r="G7" s="892"/>
      <c r="H7" s="889" t="s">
        <v>367</v>
      </c>
      <c r="I7" s="890"/>
      <c r="J7" s="890"/>
      <c r="K7" s="891"/>
      <c r="L7" s="252"/>
      <c r="M7" s="252"/>
      <c r="N7" s="252"/>
    </row>
    <row r="8" spans="1:14" ht="21" customHeight="1">
      <c r="A8" s="252"/>
      <c r="B8" s="254"/>
      <c r="C8" s="254"/>
      <c r="D8" s="254"/>
      <c r="E8" s="254"/>
      <c r="F8" s="367"/>
      <c r="G8" s="367"/>
      <c r="H8" s="254"/>
      <c r="I8" s="254"/>
      <c r="J8" s="254"/>
      <c r="K8" s="252"/>
      <c r="L8" s="252"/>
      <c r="M8" s="252"/>
      <c r="N8" s="252"/>
    </row>
    <row r="9" spans="1:14" ht="33" customHeight="1">
      <c r="A9" s="256" t="s">
        <v>350</v>
      </c>
      <c r="B9" s="897" t="s">
        <v>368</v>
      </c>
      <c r="C9" s="897"/>
      <c r="D9" s="897"/>
      <c r="E9" s="897"/>
      <c r="F9" s="898"/>
      <c r="G9" s="899"/>
      <c r="H9" s="902" t="s">
        <v>369</v>
      </c>
      <c r="I9" s="903"/>
      <c r="J9" s="903"/>
      <c r="K9" s="904"/>
      <c r="L9" s="252"/>
      <c r="M9" s="252"/>
      <c r="N9" s="252"/>
    </row>
    <row r="10" spans="1:14" ht="21" customHeight="1">
      <c r="A10" s="252"/>
      <c r="B10" s="897"/>
      <c r="C10" s="897"/>
      <c r="D10" s="897"/>
      <c r="E10" s="897"/>
      <c r="F10" s="898"/>
      <c r="G10" s="899"/>
      <c r="H10" s="905"/>
      <c r="I10" s="906"/>
      <c r="J10" s="906"/>
      <c r="K10" s="907"/>
      <c r="L10" s="252"/>
      <c r="M10" s="252"/>
      <c r="N10" s="252"/>
    </row>
    <row r="11" spans="1:14" ht="21" customHeight="1">
      <c r="A11" s="252"/>
      <c r="B11" s="897"/>
      <c r="C11" s="897"/>
      <c r="D11" s="897"/>
      <c r="E11" s="897"/>
      <c r="F11" s="898"/>
      <c r="G11" s="899"/>
      <c r="H11" s="908"/>
      <c r="I11" s="909"/>
      <c r="J11" s="909"/>
      <c r="K11" s="910"/>
      <c r="L11" s="252"/>
      <c r="M11" s="252"/>
      <c r="N11" s="252"/>
    </row>
    <row r="12" spans="1:14" ht="21" customHeight="1">
      <c r="A12" s="252"/>
      <c r="B12" s="254"/>
      <c r="C12" s="254"/>
      <c r="D12" s="254"/>
      <c r="E12" s="254"/>
      <c r="F12" s="252"/>
      <c r="G12" s="252"/>
      <c r="H12" s="254"/>
      <c r="I12" s="254"/>
      <c r="J12" s="254"/>
      <c r="K12" s="254"/>
      <c r="L12" s="252"/>
      <c r="M12" s="252"/>
      <c r="N12" s="252"/>
    </row>
    <row r="13" spans="1:14" ht="21" customHeight="1">
      <c r="A13" s="252" t="s">
        <v>353</v>
      </c>
      <c r="B13" s="364">
        <v>55</v>
      </c>
      <c r="C13" s="252" t="s">
        <v>354</v>
      </c>
      <c r="D13" s="252"/>
      <c r="E13" s="252"/>
      <c r="F13" s="364">
        <v>46</v>
      </c>
      <c r="G13" s="252" t="s">
        <v>36</v>
      </c>
      <c r="H13" s="365">
        <v>104</v>
      </c>
      <c r="I13" s="252" t="s">
        <v>37</v>
      </c>
      <c r="J13" s="365">
        <v>9</v>
      </c>
      <c r="K13" s="252" t="s">
        <v>38</v>
      </c>
      <c r="L13" s="364">
        <v>43</v>
      </c>
      <c r="M13" s="252"/>
      <c r="N13" s="252"/>
    </row>
    <row r="14" spans="1:14" ht="21" customHeight="1">
      <c r="A14" s="252"/>
      <c r="B14" s="252"/>
      <c r="C14" s="252"/>
      <c r="D14" s="252"/>
      <c r="E14" s="252"/>
      <c r="F14" s="252"/>
      <c r="G14" s="252"/>
      <c r="H14" s="257"/>
      <c r="I14" s="257"/>
      <c r="J14" s="257"/>
      <c r="K14" s="254"/>
      <c r="L14" s="254"/>
      <c r="M14" s="254"/>
      <c r="N14" s="252"/>
    </row>
    <row r="15" spans="1:14" ht="21" customHeight="1">
      <c r="A15" s="252"/>
      <c r="C15" s="252"/>
      <c r="D15" s="252"/>
      <c r="E15" s="252"/>
      <c r="G15" s="252"/>
      <c r="I15" s="252"/>
      <c r="J15" s="252"/>
      <c r="K15" s="252"/>
      <c r="L15" s="252"/>
      <c r="M15" s="252"/>
      <c r="N15" s="252"/>
    </row>
    <row r="16" spans="1:14" ht="21" customHeight="1">
      <c r="A16" s="252" t="s">
        <v>39</v>
      </c>
      <c r="B16" s="252" t="s">
        <v>40</v>
      </c>
      <c r="C16" s="364">
        <v>572</v>
      </c>
      <c r="D16" s="252" t="s">
        <v>41</v>
      </c>
      <c r="E16" s="364">
        <v>377</v>
      </c>
      <c r="F16" s="252" t="s">
        <v>42</v>
      </c>
      <c r="G16" s="253">
        <v>628</v>
      </c>
      <c r="H16" s="252" t="s">
        <v>64</v>
      </c>
      <c r="I16" s="253">
        <f>C16+E16+G16</f>
        <v>1577</v>
      </c>
      <c r="J16" s="252" t="s">
        <v>43</v>
      </c>
      <c r="K16" s="364">
        <v>592</v>
      </c>
      <c r="L16" s="252" t="s">
        <v>232</v>
      </c>
      <c r="M16" s="252"/>
      <c r="N16" s="364"/>
    </row>
    <row r="17" spans="1:14" ht="21" customHeight="1">
      <c r="A17" s="252" t="s">
        <v>45</v>
      </c>
      <c r="B17" s="252" t="s">
        <v>46</v>
      </c>
      <c r="C17" s="364">
        <v>1254</v>
      </c>
      <c r="D17" s="252" t="s">
        <v>47</v>
      </c>
      <c r="E17" s="364">
        <v>857</v>
      </c>
      <c r="F17" s="252" t="s">
        <v>48</v>
      </c>
      <c r="G17" s="364">
        <v>1167</v>
      </c>
      <c r="H17" s="252" t="s">
        <v>77</v>
      </c>
      <c r="I17" s="253">
        <f>C17+E17+G17</f>
        <v>3278</v>
      </c>
      <c r="J17" s="252"/>
      <c r="K17" s="252"/>
      <c r="L17" s="252"/>
      <c r="M17" s="252"/>
      <c r="N17" s="252"/>
    </row>
    <row r="18" spans="1:14" ht="21" customHeight="1">
      <c r="A18" s="252"/>
      <c r="B18" s="252" t="s">
        <v>49</v>
      </c>
      <c r="C18" s="364">
        <v>1241</v>
      </c>
      <c r="D18" s="252" t="s">
        <v>50</v>
      </c>
      <c r="E18" s="364">
        <v>845</v>
      </c>
      <c r="F18" s="252" t="s">
        <v>51</v>
      </c>
      <c r="G18" s="364">
        <v>1252</v>
      </c>
      <c r="H18" s="252" t="s">
        <v>76</v>
      </c>
      <c r="I18" s="253">
        <f>C18+E18+G18</f>
        <v>3338</v>
      </c>
      <c r="J18" s="252"/>
      <c r="K18" s="252"/>
      <c r="L18" s="252"/>
      <c r="M18" s="252"/>
      <c r="N18" s="252"/>
    </row>
    <row r="19" spans="1:14" ht="15" customHeight="1">
      <c r="A19" s="252"/>
      <c r="B19" s="252"/>
      <c r="C19" s="252"/>
      <c r="D19" s="252"/>
      <c r="E19" s="252"/>
      <c r="F19" s="252"/>
      <c r="G19" s="252"/>
      <c r="H19" s="252"/>
      <c r="I19" s="258"/>
      <c r="J19" s="252"/>
      <c r="K19" s="252"/>
      <c r="L19" s="252"/>
      <c r="M19" s="252"/>
      <c r="N19" s="252"/>
    </row>
    <row r="20" spans="1:14">
      <c r="A20" s="252" t="s">
        <v>52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4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 ht="20.25" customHeight="1">
      <c r="A22" s="896" t="s">
        <v>53</v>
      </c>
      <c r="B22" s="900" t="s">
        <v>54</v>
      </c>
      <c r="C22" s="900" t="s">
        <v>55</v>
      </c>
      <c r="D22" s="900" t="s">
        <v>669</v>
      </c>
      <c r="E22" s="900" t="s">
        <v>103</v>
      </c>
      <c r="F22" s="895" t="s">
        <v>664</v>
      </c>
      <c r="G22" s="895"/>
      <c r="H22" s="895"/>
      <c r="I22" s="895"/>
      <c r="J22" s="895"/>
      <c r="K22" s="895"/>
      <c r="L22" s="895"/>
      <c r="M22" s="895"/>
      <c r="N22" s="895"/>
    </row>
    <row r="23" spans="1:14" ht="20.25" customHeight="1">
      <c r="A23" s="896"/>
      <c r="B23" s="900"/>
      <c r="C23" s="900"/>
      <c r="D23" s="900"/>
      <c r="E23" s="900"/>
      <c r="F23" s="364" t="s">
        <v>105</v>
      </c>
      <c r="G23" s="364" t="s">
        <v>106</v>
      </c>
      <c r="H23" s="364" t="s">
        <v>107</v>
      </c>
      <c r="I23" s="364" t="s">
        <v>108</v>
      </c>
      <c r="J23" s="364" t="s">
        <v>109</v>
      </c>
      <c r="K23" s="364" t="s">
        <v>110</v>
      </c>
      <c r="L23" s="364" t="s">
        <v>111</v>
      </c>
      <c r="M23" s="364" t="s">
        <v>64</v>
      </c>
      <c r="N23" s="364" t="s">
        <v>65</v>
      </c>
    </row>
    <row r="24" spans="1:14" ht="20.25" customHeight="1">
      <c r="A24" s="249" t="s">
        <v>370</v>
      </c>
      <c r="B24" s="249">
        <v>500</v>
      </c>
      <c r="C24" s="249" t="s">
        <v>300</v>
      </c>
      <c r="D24" s="259">
        <v>2500000</v>
      </c>
      <c r="E24" s="259">
        <v>1739886</v>
      </c>
      <c r="F24" s="249">
        <v>1131446</v>
      </c>
      <c r="G24" s="400">
        <v>546214</v>
      </c>
      <c r="H24" s="249">
        <v>0</v>
      </c>
      <c r="I24" s="249">
        <v>0</v>
      </c>
      <c r="J24" s="249">
        <v>0</v>
      </c>
      <c r="K24" s="249">
        <v>0</v>
      </c>
      <c r="L24" s="249">
        <v>0</v>
      </c>
      <c r="M24" s="249">
        <f>SUM(F24:L24)</f>
        <v>1677660</v>
      </c>
      <c r="N24" s="249">
        <f>+M24/E24*100</f>
        <v>96.423558784885913</v>
      </c>
    </row>
    <row r="25" spans="1:14" ht="20.25" customHeight="1">
      <c r="A25" s="249" t="s">
        <v>338</v>
      </c>
      <c r="B25" s="249">
        <v>360</v>
      </c>
      <c r="C25" s="249" t="s">
        <v>300</v>
      </c>
      <c r="D25" s="259">
        <v>1800000</v>
      </c>
      <c r="E25" s="259">
        <v>397375</v>
      </c>
      <c r="F25" s="249">
        <v>12425</v>
      </c>
      <c r="G25" s="400">
        <v>375616</v>
      </c>
      <c r="H25" s="249">
        <v>0</v>
      </c>
      <c r="I25" s="249">
        <v>0</v>
      </c>
      <c r="J25" s="249">
        <v>0</v>
      </c>
      <c r="K25" s="249">
        <v>0</v>
      </c>
      <c r="L25" s="249">
        <v>0</v>
      </c>
      <c r="M25" s="249">
        <f t="shared" ref="M25:M32" si="0">SUM(F25:L25)</f>
        <v>388041</v>
      </c>
      <c r="N25" s="249">
        <f t="shared" ref="N25:N32" si="1">+M25/E25*100</f>
        <v>97.651085246933008</v>
      </c>
    </row>
    <row r="26" spans="1:14" ht="20.25" customHeight="1">
      <c r="A26" s="249" t="s">
        <v>321</v>
      </c>
      <c r="B26" s="249">
        <v>8.4</v>
      </c>
      <c r="C26" s="249" t="s">
        <v>363</v>
      </c>
      <c r="D26" s="253">
        <v>5544000</v>
      </c>
      <c r="E26" s="259">
        <v>690000</v>
      </c>
      <c r="F26" s="401">
        <v>364150</v>
      </c>
      <c r="G26" s="400">
        <v>381451</v>
      </c>
      <c r="H26" s="249">
        <v>0</v>
      </c>
      <c r="I26" s="249">
        <v>0</v>
      </c>
      <c r="J26" s="249">
        <v>0</v>
      </c>
      <c r="K26" s="249">
        <v>0</v>
      </c>
      <c r="L26" s="249">
        <v>0</v>
      </c>
      <c r="M26" s="249">
        <f t="shared" si="0"/>
        <v>745601</v>
      </c>
      <c r="N26" s="249">
        <f t="shared" si="1"/>
        <v>108.05811594202899</v>
      </c>
    </row>
    <row r="27" spans="1:14" ht="20.25" customHeight="1">
      <c r="A27" s="249" t="s">
        <v>246</v>
      </c>
      <c r="B27" s="249">
        <v>0.84</v>
      </c>
      <c r="C27" s="249" t="s">
        <v>363</v>
      </c>
      <c r="D27" s="253">
        <v>588000</v>
      </c>
      <c r="E27" s="259">
        <v>252000</v>
      </c>
      <c r="F27" s="401">
        <f>90296+54147</f>
        <v>144443</v>
      </c>
      <c r="G27" s="400">
        <f>80766+48460</f>
        <v>129226</v>
      </c>
      <c r="H27" s="249">
        <v>0</v>
      </c>
      <c r="I27" s="249">
        <v>0</v>
      </c>
      <c r="J27" s="249">
        <v>0</v>
      </c>
      <c r="K27" s="249">
        <v>0</v>
      </c>
      <c r="L27" s="249">
        <v>0</v>
      </c>
      <c r="M27" s="249">
        <f t="shared" si="0"/>
        <v>273669</v>
      </c>
      <c r="N27" s="249">
        <f t="shared" si="1"/>
        <v>108.59880952380951</v>
      </c>
    </row>
    <row r="28" spans="1:14" ht="20.25" customHeight="1">
      <c r="A28" s="249" t="s">
        <v>322</v>
      </c>
      <c r="B28" s="249">
        <v>3.6</v>
      </c>
      <c r="C28" s="249" t="s">
        <v>363</v>
      </c>
      <c r="D28" s="253">
        <v>2280000</v>
      </c>
      <c r="E28" s="259">
        <v>500000</v>
      </c>
      <c r="F28" s="401">
        <v>257000</v>
      </c>
      <c r="G28" s="400">
        <v>235000</v>
      </c>
      <c r="H28" s="249">
        <v>0</v>
      </c>
      <c r="I28" s="249">
        <v>0</v>
      </c>
      <c r="J28" s="249">
        <v>0</v>
      </c>
      <c r="K28" s="249">
        <v>0</v>
      </c>
      <c r="L28" s="249">
        <v>0</v>
      </c>
      <c r="M28" s="249">
        <f t="shared" si="0"/>
        <v>492000</v>
      </c>
      <c r="N28" s="249">
        <f t="shared" si="1"/>
        <v>98.4</v>
      </c>
    </row>
    <row r="29" spans="1:14" ht="20.25" customHeight="1">
      <c r="A29" s="249" t="s">
        <v>305</v>
      </c>
      <c r="B29" s="249">
        <v>0.24</v>
      </c>
      <c r="C29" s="249" t="s">
        <v>363</v>
      </c>
      <c r="D29" s="253">
        <v>168000</v>
      </c>
      <c r="E29" s="259">
        <v>50000</v>
      </c>
      <c r="F29" s="401">
        <v>26000</v>
      </c>
      <c r="G29" s="400">
        <v>24000</v>
      </c>
      <c r="H29" s="249">
        <v>0</v>
      </c>
      <c r="I29" s="249">
        <v>0</v>
      </c>
      <c r="J29" s="249">
        <v>0</v>
      </c>
      <c r="K29" s="249">
        <v>0</v>
      </c>
      <c r="L29" s="249">
        <v>0</v>
      </c>
      <c r="M29" s="249">
        <f t="shared" si="0"/>
        <v>50000</v>
      </c>
      <c r="N29" s="249">
        <f t="shared" si="1"/>
        <v>100</v>
      </c>
    </row>
    <row r="30" spans="1:14" ht="20.25" customHeight="1">
      <c r="A30" s="249" t="s">
        <v>306</v>
      </c>
      <c r="B30" s="249">
        <v>0.36</v>
      </c>
      <c r="C30" s="249" t="s">
        <v>363</v>
      </c>
      <c r="D30" s="253">
        <v>252000</v>
      </c>
      <c r="E30" s="259">
        <v>75000</v>
      </c>
      <c r="F30" s="401">
        <v>39000</v>
      </c>
      <c r="G30" s="400">
        <v>36000</v>
      </c>
      <c r="H30" s="249">
        <v>0</v>
      </c>
      <c r="I30" s="249">
        <v>0</v>
      </c>
      <c r="J30" s="249">
        <v>0</v>
      </c>
      <c r="K30" s="249">
        <v>0</v>
      </c>
      <c r="L30" s="249">
        <v>0</v>
      </c>
      <c r="M30" s="249">
        <f t="shared" si="0"/>
        <v>75000</v>
      </c>
      <c r="N30" s="249">
        <f t="shared" si="1"/>
        <v>100</v>
      </c>
    </row>
    <row r="31" spans="1:14" ht="20.25" customHeight="1">
      <c r="A31" s="249" t="s">
        <v>371</v>
      </c>
      <c r="B31" s="249">
        <v>0.2</v>
      </c>
      <c r="C31" s="249" t="s">
        <v>68</v>
      </c>
      <c r="D31" s="253">
        <v>20000</v>
      </c>
      <c r="E31" s="259">
        <v>20000</v>
      </c>
      <c r="F31" s="401">
        <v>20000</v>
      </c>
      <c r="G31" s="259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49">
        <f t="shared" si="0"/>
        <v>20000</v>
      </c>
      <c r="N31" s="249">
        <f t="shared" si="1"/>
        <v>100</v>
      </c>
    </row>
    <row r="32" spans="1:14" ht="20.25" customHeight="1">
      <c r="A32" s="364" t="s">
        <v>69</v>
      </c>
      <c r="B32" s="249"/>
      <c r="C32" s="249"/>
      <c r="D32" s="260">
        <f t="shared" ref="D32:L32" si="2">SUM(D24:D31)</f>
        <v>13152000</v>
      </c>
      <c r="E32" s="260">
        <v>3724261</v>
      </c>
      <c r="F32" s="260">
        <f t="shared" si="2"/>
        <v>1994464</v>
      </c>
      <c r="G32" s="260">
        <f t="shared" si="2"/>
        <v>1727507</v>
      </c>
      <c r="H32" s="251">
        <f t="shared" si="2"/>
        <v>0</v>
      </c>
      <c r="I32" s="251">
        <f t="shared" si="2"/>
        <v>0</v>
      </c>
      <c r="J32" s="251">
        <f t="shared" si="2"/>
        <v>0</v>
      </c>
      <c r="K32" s="251">
        <f t="shared" si="2"/>
        <v>0</v>
      </c>
      <c r="L32" s="251">
        <f t="shared" si="2"/>
        <v>0</v>
      </c>
      <c r="M32" s="364">
        <f t="shared" si="0"/>
        <v>3721971</v>
      </c>
      <c r="N32" s="364">
        <f t="shared" si="1"/>
        <v>99.93851129123334</v>
      </c>
    </row>
    <row r="34" spans="1:9" ht="20.25" customHeight="1">
      <c r="A34" s="115" t="s">
        <v>665</v>
      </c>
      <c r="E34" s="248" t="s">
        <v>666</v>
      </c>
    </row>
    <row r="35" spans="1:9" ht="20.25" customHeight="1">
      <c r="A35" s="57"/>
      <c r="I35" s="57"/>
    </row>
    <row r="36" spans="1:9" ht="20.25" customHeight="1">
      <c r="A36" s="248" t="s">
        <v>667</v>
      </c>
      <c r="E36" s="248" t="s">
        <v>668</v>
      </c>
    </row>
  </sheetData>
  <mergeCells count="17">
    <mergeCell ref="B9:E11"/>
    <mergeCell ref="F9:G11"/>
    <mergeCell ref="H9:K11"/>
    <mergeCell ref="A22:A23"/>
    <mergeCell ref="B22:B23"/>
    <mergeCell ref="C22:C23"/>
    <mergeCell ref="D22:D23"/>
    <mergeCell ref="E22:E23"/>
    <mergeCell ref="F22:N22"/>
    <mergeCell ref="B7:E7"/>
    <mergeCell ref="F7:G7"/>
    <mergeCell ref="H7:K7"/>
    <mergeCell ref="A1:N1"/>
    <mergeCell ref="A2:N2"/>
    <mergeCell ref="A3:C3"/>
    <mergeCell ref="B5:E5"/>
    <mergeCell ref="H5:I5"/>
  </mergeCells>
  <hyperlinks>
    <hyperlink ref="A3" location="'Fact Sheet of VDC'!A1" display="&lt;&lt;Back"/>
  </hyperlinks>
  <pageMargins left="0.23622047244094491" right="0.15748031496062992" top="0.74803149606299213" bottom="0.74803149606299213" header="0.31496062992125984" footer="0.31496062992125984"/>
  <pageSetup paperSize="9" scale="6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36"/>
  <sheetViews>
    <sheetView zoomScale="90" zoomScaleNormal="90" workbookViewId="0">
      <selection activeCell="A3" sqref="A3:C3"/>
    </sheetView>
  </sheetViews>
  <sheetFormatPr defaultRowHeight="15"/>
  <cols>
    <col min="1" max="1" width="46.5703125" style="248" bestFit="1" customWidth="1"/>
    <col min="2" max="2" width="10.42578125" style="248" customWidth="1"/>
    <col min="3" max="3" width="13.7109375" style="248" bestFit="1" customWidth="1"/>
    <col min="4" max="4" width="11.85546875" style="248" customWidth="1"/>
    <col min="5" max="5" width="11.5703125" style="248" customWidth="1"/>
    <col min="6" max="6" width="14" style="248" customWidth="1"/>
    <col min="7" max="7" width="14.140625" style="248" customWidth="1"/>
    <col min="8" max="8" width="13.140625" style="248" customWidth="1"/>
    <col min="9" max="9" width="13" style="248" customWidth="1"/>
    <col min="10" max="10" width="14.140625" style="248" bestFit="1" customWidth="1"/>
    <col min="11" max="11" width="9.7109375" style="248" customWidth="1"/>
    <col min="12" max="12" width="11.140625" style="248" customWidth="1"/>
    <col min="13" max="13" width="10.28515625" style="248" customWidth="1"/>
    <col min="14" max="14" width="9.28515625" style="248" bestFit="1" customWidth="1"/>
    <col min="15" max="256" width="9.140625" style="248"/>
    <col min="257" max="257" width="46.5703125" style="248" bestFit="1" customWidth="1"/>
    <col min="258" max="258" width="10.42578125" style="248" customWidth="1"/>
    <col min="259" max="259" width="13.7109375" style="248" bestFit="1" customWidth="1"/>
    <col min="260" max="260" width="11.85546875" style="248" customWidth="1"/>
    <col min="261" max="261" width="11.5703125" style="248" customWidth="1"/>
    <col min="262" max="262" width="14" style="248" customWidth="1"/>
    <col min="263" max="263" width="14.140625" style="248" customWidth="1"/>
    <col min="264" max="264" width="13.140625" style="248" customWidth="1"/>
    <col min="265" max="265" width="13" style="248" customWidth="1"/>
    <col min="266" max="266" width="14.140625" style="248" bestFit="1" customWidth="1"/>
    <col min="267" max="267" width="9.7109375" style="248" customWidth="1"/>
    <col min="268" max="268" width="11.140625" style="248" customWidth="1"/>
    <col min="269" max="269" width="10.28515625" style="248" customWidth="1"/>
    <col min="270" max="270" width="9.28515625" style="248" bestFit="1" customWidth="1"/>
    <col min="271" max="512" width="9.140625" style="248"/>
    <col min="513" max="513" width="46.5703125" style="248" bestFit="1" customWidth="1"/>
    <col min="514" max="514" width="10.42578125" style="248" customWidth="1"/>
    <col min="515" max="515" width="13.7109375" style="248" bestFit="1" customWidth="1"/>
    <col min="516" max="516" width="11.85546875" style="248" customWidth="1"/>
    <col min="517" max="517" width="11.5703125" style="248" customWidth="1"/>
    <col min="518" max="518" width="14" style="248" customWidth="1"/>
    <col min="519" max="519" width="14.140625" style="248" customWidth="1"/>
    <col min="520" max="520" width="13.140625" style="248" customWidth="1"/>
    <col min="521" max="521" width="13" style="248" customWidth="1"/>
    <col min="522" max="522" width="14.140625" style="248" bestFit="1" customWidth="1"/>
    <col min="523" max="523" width="9.7109375" style="248" customWidth="1"/>
    <col min="524" max="524" width="11.140625" style="248" customWidth="1"/>
    <col min="525" max="525" width="10.28515625" style="248" customWidth="1"/>
    <col min="526" max="526" width="9.28515625" style="248" bestFit="1" customWidth="1"/>
    <col min="527" max="768" width="9.140625" style="248"/>
    <col min="769" max="769" width="46.5703125" style="248" bestFit="1" customWidth="1"/>
    <col min="770" max="770" width="10.42578125" style="248" customWidth="1"/>
    <col min="771" max="771" width="13.7109375" style="248" bestFit="1" customWidth="1"/>
    <col min="772" max="772" width="11.85546875" style="248" customWidth="1"/>
    <col min="773" max="773" width="11.5703125" style="248" customWidth="1"/>
    <col min="774" max="774" width="14" style="248" customWidth="1"/>
    <col min="775" max="775" width="14.140625" style="248" customWidth="1"/>
    <col min="776" max="776" width="13.140625" style="248" customWidth="1"/>
    <col min="777" max="777" width="13" style="248" customWidth="1"/>
    <col min="778" max="778" width="14.140625" style="248" bestFit="1" customWidth="1"/>
    <col min="779" max="779" width="9.7109375" style="248" customWidth="1"/>
    <col min="780" max="780" width="11.140625" style="248" customWidth="1"/>
    <col min="781" max="781" width="10.28515625" style="248" customWidth="1"/>
    <col min="782" max="782" width="9.28515625" style="248" bestFit="1" customWidth="1"/>
    <col min="783" max="1024" width="9.140625" style="248"/>
    <col min="1025" max="1025" width="46.5703125" style="248" bestFit="1" customWidth="1"/>
    <col min="1026" max="1026" width="10.42578125" style="248" customWidth="1"/>
    <col min="1027" max="1027" width="13.7109375" style="248" bestFit="1" customWidth="1"/>
    <col min="1028" max="1028" width="11.85546875" style="248" customWidth="1"/>
    <col min="1029" max="1029" width="11.5703125" style="248" customWidth="1"/>
    <col min="1030" max="1030" width="14" style="248" customWidth="1"/>
    <col min="1031" max="1031" width="14.140625" style="248" customWidth="1"/>
    <col min="1032" max="1032" width="13.140625" style="248" customWidth="1"/>
    <col min="1033" max="1033" width="13" style="248" customWidth="1"/>
    <col min="1034" max="1034" width="14.140625" style="248" bestFit="1" customWidth="1"/>
    <col min="1035" max="1035" width="9.7109375" style="248" customWidth="1"/>
    <col min="1036" max="1036" width="11.140625" style="248" customWidth="1"/>
    <col min="1037" max="1037" width="10.28515625" style="248" customWidth="1"/>
    <col min="1038" max="1038" width="9.28515625" style="248" bestFit="1" customWidth="1"/>
    <col min="1039" max="1280" width="9.140625" style="248"/>
    <col min="1281" max="1281" width="46.5703125" style="248" bestFit="1" customWidth="1"/>
    <col min="1282" max="1282" width="10.42578125" style="248" customWidth="1"/>
    <col min="1283" max="1283" width="13.7109375" style="248" bestFit="1" customWidth="1"/>
    <col min="1284" max="1284" width="11.85546875" style="248" customWidth="1"/>
    <col min="1285" max="1285" width="11.5703125" style="248" customWidth="1"/>
    <col min="1286" max="1286" width="14" style="248" customWidth="1"/>
    <col min="1287" max="1287" width="14.140625" style="248" customWidth="1"/>
    <col min="1288" max="1288" width="13.140625" style="248" customWidth="1"/>
    <col min="1289" max="1289" width="13" style="248" customWidth="1"/>
    <col min="1290" max="1290" width="14.140625" style="248" bestFit="1" customWidth="1"/>
    <col min="1291" max="1291" width="9.7109375" style="248" customWidth="1"/>
    <col min="1292" max="1292" width="11.140625" style="248" customWidth="1"/>
    <col min="1293" max="1293" width="10.28515625" style="248" customWidth="1"/>
    <col min="1294" max="1294" width="9.28515625" style="248" bestFit="1" customWidth="1"/>
    <col min="1295" max="1536" width="9.140625" style="248"/>
    <col min="1537" max="1537" width="46.5703125" style="248" bestFit="1" customWidth="1"/>
    <col min="1538" max="1538" width="10.42578125" style="248" customWidth="1"/>
    <col min="1539" max="1539" width="13.7109375" style="248" bestFit="1" customWidth="1"/>
    <col min="1540" max="1540" width="11.85546875" style="248" customWidth="1"/>
    <col min="1541" max="1541" width="11.5703125" style="248" customWidth="1"/>
    <col min="1542" max="1542" width="14" style="248" customWidth="1"/>
    <col min="1543" max="1543" width="14.140625" style="248" customWidth="1"/>
    <col min="1544" max="1544" width="13.140625" style="248" customWidth="1"/>
    <col min="1545" max="1545" width="13" style="248" customWidth="1"/>
    <col min="1546" max="1546" width="14.140625" style="248" bestFit="1" customWidth="1"/>
    <col min="1547" max="1547" width="9.7109375" style="248" customWidth="1"/>
    <col min="1548" max="1548" width="11.140625" style="248" customWidth="1"/>
    <col min="1549" max="1549" width="10.28515625" style="248" customWidth="1"/>
    <col min="1550" max="1550" width="9.28515625" style="248" bestFit="1" customWidth="1"/>
    <col min="1551" max="1792" width="9.140625" style="248"/>
    <col min="1793" max="1793" width="46.5703125" style="248" bestFit="1" customWidth="1"/>
    <col min="1794" max="1794" width="10.42578125" style="248" customWidth="1"/>
    <col min="1795" max="1795" width="13.7109375" style="248" bestFit="1" customWidth="1"/>
    <col min="1796" max="1796" width="11.85546875" style="248" customWidth="1"/>
    <col min="1797" max="1797" width="11.5703125" style="248" customWidth="1"/>
    <col min="1798" max="1798" width="14" style="248" customWidth="1"/>
    <col min="1799" max="1799" width="14.140625" style="248" customWidth="1"/>
    <col min="1800" max="1800" width="13.140625" style="248" customWidth="1"/>
    <col min="1801" max="1801" width="13" style="248" customWidth="1"/>
    <col min="1802" max="1802" width="14.140625" style="248" bestFit="1" customWidth="1"/>
    <col min="1803" max="1803" width="9.7109375" style="248" customWidth="1"/>
    <col min="1804" max="1804" width="11.140625" style="248" customWidth="1"/>
    <col min="1805" max="1805" width="10.28515625" style="248" customWidth="1"/>
    <col min="1806" max="1806" width="9.28515625" style="248" bestFit="1" customWidth="1"/>
    <col min="1807" max="2048" width="9.140625" style="248"/>
    <col min="2049" max="2049" width="46.5703125" style="248" bestFit="1" customWidth="1"/>
    <col min="2050" max="2050" width="10.42578125" style="248" customWidth="1"/>
    <col min="2051" max="2051" width="13.7109375" style="248" bestFit="1" customWidth="1"/>
    <col min="2052" max="2052" width="11.85546875" style="248" customWidth="1"/>
    <col min="2053" max="2053" width="11.5703125" style="248" customWidth="1"/>
    <col min="2054" max="2054" width="14" style="248" customWidth="1"/>
    <col min="2055" max="2055" width="14.140625" style="248" customWidth="1"/>
    <col min="2056" max="2056" width="13.140625" style="248" customWidth="1"/>
    <col min="2057" max="2057" width="13" style="248" customWidth="1"/>
    <col min="2058" max="2058" width="14.140625" style="248" bestFit="1" customWidth="1"/>
    <col min="2059" max="2059" width="9.7109375" style="248" customWidth="1"/>
    <col min="2060" max="2060" width="11.140625" style="248" customWidth="1"/>
    <col min="2061" max="2061" width="10.28515625" style="248" customWidth="1"/>
    <col min="2062" max="2062" width="9.28515625" style="248" bestFit="1" customWidth="1"/>
    <col min="2063" max="2304" width="9.140625" style="248"/>
    <col min="2305" max="2305" width="46.5703125" style="248" bestFit="1" customWidth="1"/>
    <col min="2306" max="2306" width="10.42578125" style="248" customWidth="1"/>
    <col min="2307" max="2307" width="13.7109375" style="248" bestFit="1" customWidth="1"/>
    <col min="2308" max="2308" width="11.85546875" style="248" customWidth="1"/>
    <col min="2309" max="2309" width="11.5703125" style="248" customWidth="1"/>
    <col min="2310" max="2310" width="14" style="248" customWidth="1"/>
    <col min="2311" max="2311" width="14.140625" style="248" customWidth="1"/>
    <col min="2312" max="2312" width="13.140625" style="248" customWidth="1"/>
    <col min="2313" max="2313" width="13" style="248" customWidth="1"/>
    <col min="2314" max="2314" width="14.140625" style="248" bestFit="1" customWidth="1"/>
    <col min="2315" max="2315" width="9.7109375" style="248" customWidth="1"/>
    <col min="2316" max="2316" width="11.140625" style="248" customWidth="1"/>
    <col min="2317" max="2317" width="10.28515625" style="248" customWidth="1"/>
    <col min="2318" max="2318" width="9.28515625" style="248" bestFit="1" customWidth="1"/>
    <col min="2319" max="2560" width="9.140625" style="248"/>
    <col min="2561" max="2561" width="46.5703125" style="248" bestFit="1" customWidth="1"/>
    <col min="2562" max="2562" width="10.42578125" style="248" customWidth="1"/>
    <col min="2563" max="2563" width="13.7109375" style="248" bestFit="1" customWidth="1"/>
    <col min="2564" max="2564" width="11.85546875" style="248" customWidth="1"/>
    <col min="2565" max="2565" width="11.5703125" style="248" customWidth="1"/>
    <col min="2566" max="2566" width="14" style="248" customWidth="1"/>
    <col min="2567" max="2567" width="14.140625" style="248" customWidth="1"/>
    <col min="2568" max="2568" width="13.140625" style="248" customWidth="1"/>
    <col min="2569" max="2569" width="13" style="248" customWidth="1"/>
    <col min="2570" max="2570" width="14.140625" style="248" bestFit="1" customWidth="1"/>
    <col min="2571" max="2571" width="9.7109375" style="248" customWidth="1"/>
    <col min="2572" max="2572" width="11.140625" style="248" customWidth="1"/>
    <col min="2573" max="2573" width="10.28515625" style="248" customWidth="1"/>
    <col min="2574" max="2574" width="9.28515625" style="248" bestFit="1" customWidth="1"/>
    <col min="2575" max="2816" width="9.140625" style="248"/>
    <col min="2817" max="2817" width="46.5703125" style="248" bestFit="1" customWidth="1"/>
    <col min="2818" max="2818" width="10.42578125" style="248" customWidth="1"/>
    <col min="2819" max="2819" width="13.7109375" style="248" bestFit="1" customWidth="1"/>
    <col min="2820" max="2820" width="11.85546875" style="248" customWidth="1"/>
    <col min="2821" max="2821" width="11.5703125" style="248" customWidth="1"/>
    <col min="2822" max="2822" width="14" style="248" customWidth="1"/>
    <col min="2823" max="2823" width="14.140625" style="248" customWidth="1"/>
    <col min="2824" max="2824" width="13.140625" style="248" customWidth="1"/>
    <col min="2825" max="2825" width="13" style="248" customWidth="1"/>
    <col min="2826" max="2826" width="14.140625" style="248" bestFit="1" customWidth="1"/>
    <col min="2827" max="2827" width="9.7109375" style="248" customWidth="1"/>
    <col min="2828" max="2828" width="11.140625" style="248" customWidth="1"/>
    <col min="2829" max="2829" width="10.28515625" style="248" customWidth="1"/>
    <col min="2830" max="2830" width="9.28515625" style="248" bestFit="1" customWidth="1"/>
    <col min="2831" max="3072" width="9.140625" style="248"/>
    <col min="3073" max="3073" width="46.5703125" style="248" bestFit="1" customWidth="1"/>
    <col min="3074" max="3074" width="10.42578125" style="248" customWidth="1"/>
    <col min="3075" max="3075" width="13.7109375" style="248" bestFit="1" customWidth="1"/>
    <col min="3076" max="3076" width="11.85546875" style="248" customWidth="1"/>
    <col min="3077" max="3077" width="11.5703125" style="248" customWidth="1"/>
    <col min="3078" max="3078" width="14" style="248" customWidth="1"/>
    <col min="3079" max="3079" width="14.140625" style="248" customWidth="1"/>
    <col min="3080" max="3080" width="13.140625" style="248" customWidth="1"/>
    <col min="3081" max="3081" width="13" style="248" customWidth="1"/>
    <col min="3082" max="3082" width="14.140625" style="248" bestFit="1" customWidth="1"/>
    <col min="3083" max="3083" width="9.7109375" style="248" customWidth="1"/>
    <col min="3084" max="3084" width="11.140625" style="248" customWidth="1"/>
    <col min="3085" max="3085" width="10.28515625" style="248" customWidth="1"/>
    <col min="3086" max="3086" width="9.28515625" style="248" bestFit="1" customWidth="1"/>
    <col min="3087" max="3328" width="9.140625" style="248"/>
    <col min="3329" max="3329" width="46.5703125" style="248" bestFit="1" customWidth="1"/>
    <col min="3330" max="3330" width="10.42578125" style="248" customWidth="1"/>
    <col min="3331" max="3331" width="13.7109375" style="248" bestFit="1" customWidth="1"/>
    <col min="3332" max="3332" width="11.85546875" style="248" customWidth="1"/>
    <col min="3333" max="3333" width="11.5703125" style="248" customWidth="1"/>
    <col min="3334" max="3334" width="14" style="248" customWidth="1"/>
    <col min="3335" max="3335" width="14.140625" style="248" customWidth="1"/>
    <col min="3336" max="3336" width="13.140625" style="248" customWidth="1"/>
    <col min="3337" max="3337" width="13" style="248" customWidth="1"/>
    <col min="3338" max="3338" width="14.140625" style="248" bestFit="1" customWidth="1"/>
    <col min="3339" max="3339" width="9.7109375" style="248" customWidth="1"/>
    <col min="3340" max="3340" width="11.140625" style="248" customWidth="1"/>
    <col min="3341" max="3341" width="10.28515625" style="248" customWidth="1"/>
    <col min="3342" max="3342" width="9.28515625" style="248" bestFit="1" customWidth="1"/>
    <col min="3343" max="3584" width="9.140625" style="248"/>
    <col min="3585" max="3585" width="46.5703125" style="248" bestFit="1" customWidth="1"/>
    <col min="3586" max="3586" width="10.42578125" style="248" customWidth="1"/>
    <col min="3587" max="3587" width="13.7109375" style="248" bestFit="1" customWidth="1"/>
    <col min="3588" max="3588" width="11.85546875" style="248" customWidth="1"/>
    <col min="3589" max="3589" width="11.5703125" style="248" customWidth="1"/>
    <col min="3590" max="3590" width="14" style="248" customWidth="1"/>
    <col min="3591" max="3591" width="14.140625" style="248" customWidth="1"/>
    <col min="3592" max="3592" width="13.140625" style="248" customWidth="1"/>
    <col min="3593" max="3593" width="13" style="248" customWidth="1"/>
    <col min="3594" max="3594" width="14.140625" style="248" bestFit="1" customWidth="1"/>
    <col min="3595" max="3595" width="9.7109375" style="248" customWidth="1"/>
    <col min="3596" max="3596" width="11.140625" style="248" customWidth="1"/>
    <col min="3597" max="3597" width="10.28515625" style="248" customWidth="1"/>
    <col min="3598" max="3598" width="9.28515625" style="248" bestFit="1" customWidth="1"/>
    <col min="3599" max="3840" width="9.140625" style="248"/>
    <col min="3841" max="3841" width="46.5703125" style="248" bestFit="1" customWidth="1"/>
    <col min="3842" max="3842" width="10.42578125" style="248" customWidth="1"/>
    <col min="3843" max="3843" width="13.7109375" style="248" bestFit="1" customWidth="1"/>
    <col min="3844" max="3844" width="11.85546875" style="248" customWidth="1"/>
    <col min="3845" max="3845" width="11.5703125" style="248" customWidth="1"/>
    <col min="3846" max="3846" width="14" style="248" customWidth="1"/>
    <col min="3847" max="3847" width="14.140625" style="248" customWidth="1"/>
    <col min="3848" max="3848" width="13.140625" style="248" customWidth="1"/>
    <col min="3849" max="3849" width="13" style="248" customWidth="1"/>
    <col min="3850" max="3850" width="14.140625" style="248" bestFit="1" customWidth="1"/>
    <col min="3851" max="3851" width="9.7109375" style="248" customWidth="1"/>
    <col min="3852" max="3852" width="11.140625" style="248" customWidth="1"/>
    <col min="3853" max="3853" width="10.28515625" style="248" customWidth="1"/>
    <col min="3854" max="3854" width="9.28515625" style="248" bestFit="1" customWidth="1"/>
    <col min="3855" max="4096" width="9.140625" style="248"/>
    <col min="4097" max="4097" width="46.5703125" style="248" bestFit="1" customWidth="1"/>
    <col min="4098" max="4098" width="10.42578125" style="248" customWidth="1"/>
    <col min="4099" max="4099" width="13.7109375" style="248" bestFit="1" customWidth="1"/>
    <col min="4100" max="4100" width="11.85546875" style="248" customWidth="1"/>
    <col min="4101" max="4101" width="11.5703125" style="248" customWidth="1"/>
    <col min="4102" max="4102" width="14" style="248" customWidth="1"/>
    <col min="4103" max="4103" width="14.140625" style="248" customWidth="1"/>
    <col min="4104" max="4104" width="13.140625" style="248" customWidth="1"/>
    <col min="4105" max="4105" width="13" style="248" customWidth="1"/>
    <col min="4106" max="4106" width="14.140625" style="248" bestFit="1" customWidth="1"/>
    <col min="4107" max="4107" width="9.7109375" style="248" customWidth="1"/>
    <col min="4108" max="4108" width="11.140625" style="248" customWidth="1"/>
    <col min="4109" max="4109" width="10.28515625" style="248" customWidth="1"/>
    <col min="4110" max="4110" width="9.28515625" style="248" bestFit="1" customWidth="1"/>
    <col min="4111" max="4352" width="9.140625" style="248"/>
    <col min="4353" max="4353" width="46.5703125" style="248" bestFit="1" customWidth="1"/>
    <col min="4354" max="4354" width="10.42578125" style="248" customWidth="1"/>
    <col min="4355" max="4355" width="13.7109375" style="248" bestFit="1" customWidth="1"/>
    <col min="4356" max="4356" width="11.85546875" style="248" customWidth="1"/>
    <col min="4357" max="4357" width="11.5703125" style="248" customWidth="1"/>
    <col min="4358" max="4358" width="14" style="248" customWidth="1"/>
    <col min="4359" max="4359" width="14.140625" style="248" customWidth="1"/>
    <col min="4360" max="4360" width="13.140625" style="248" customWidth="1"/>
    <col min="4361" max="4361" width="13" style="248" customWidth="1"/>
    <col min="4362" max="4362" width="14.140625" style="248" bestFit="1" customWidth="1"/>
    <col min="4363" max="4363" width="9.7109375" style="248" customWidth="1"/>
    <col min="4364" max="4364" width="11.140625" style="248" customWidth="1"/>
    <col min="4365" max="4365" width="10.28515625" style="248" customWidth="1"/>
    <col min="4366" max="4366" width="9.28515625" style="248" bestFit="1" customWidth="1"/>
    <col min="4367" max="4608" width="9.140625" style="248"/>
    <col min="4609" max="4609" width="46.5703125" style="248" bestFit="1" customWidth="1"/>
    <col min="4610" max="4610" width="10.42578125" style="248" customWidth="1"/>
    <col min="4611" max="4611" width="13.7109375" style="248" bestFit="1" customWidth="1"/>
    <col min="4612" max="4612" width="11.85546875" style="248" customWidth="1"/>
    <col min="4613" max="4613" width="11.5703125" style="248" customWidth="1"/>
    <col min="4614" max="4614" width="14" style="248" customWidth="1"/>
    <col min="4615" max="4615" width="14.140625" style="248" customWidth="1"/>
    <col min="4616" max="4616" width="13.140625" style="248" customWidth="1"/>
    <col min="4617" max="4617" width="13" style="248" customWidth="1"/>
    <col min="4618" max="4618" width="14.140625" style="248" bestFit="1" customWidth="1"/>
    <col min="4619" max="4619" width="9.7109375" style="248" customWidth="1"/>
    <col min="4620" max="4620" width="11.140625" style="248" customWidth="1"/>
    <col min="4621" max="4621" width="10.28515625" style="248" customWidth="1"/>
    <col min="4622" max="4622" width="9.28515625" style="248" bestFit="1" customWidth="1"/>
    <col min="4623" max="4864" width="9.140625" style="248"/>
    <col min="4865" max="4865" width="46.5703125" style="248" bestFit="1" customWidth="1"/>
    <col min="4866" max="4866" width="10.42578125" style="248" customWidth="1"/>
    <col min="4867" max="4867" width="13.7109375" style="248" bestFit="1" customWidth="1"/>
    <col min="4868" max="4868" width="11.85546875" style="248" customWidth="1"/>
    <col min="4869" max="4869" width="11.5703125" style="248" customWidth="1"/>
    <col min="4870" max="4870" width="14" style="248" customWidth="1"/>
    <col min="4871" max="4871" width="14.140625" style="248" customWidth="1"/>
    <col min="4872" max="4872" width="13.140625" style="248" customWidth="1"/>
    <col min="4873" max="4873" width="13" style="248" customWidth="1"/>
    <col min="4874" max="4874" width="14.140625" style="248" bestFit="1" customWidth="1"/>
    <col min="4875" max="4875" width="9.7109375" style="248" customWidth="1"/>
    <col min="4876" max="4876" width="11.140625" style="248" customWidth="1"/>
    <col min="4877" max="4877" width="10.28515625" style="248" customWidth="1"/>
    <col min="4878" max="4878" width="9.28515625" style="248" bestFit="1" customWidth="1"/>
    <col min="4879" max="5120" width="9.140625" style="248"/>
    <col min="5121" max="5121" width="46.5703125" style="248" bestFit="1" customWidth="1"/>
    <col min="5122" max="5122" width="10.42578125" style="248" customWidth="1"/>
    <col min="5123" max="5123" width="13.7109375" style="248" bestFit="1" customWidth="1"/>
    <col min="5124" max="5124" width="11.85546875" style="248" customWidth="1"/>
    <col min="5125" max="5125" width="11.5703125" style="248" customWidth="1"/>
    <col min="5126" max="5126" width="14" style="248" customWidth="1"/>
    <col min="5127" max="5127" width="14.140625" style="248" customWidth="1"/>
    <col min="5128" max="5128" width="13.140625" style="248" customWidth="1"/>
    <col min="5129" max="5129" width="13" style="248" customWidth="1"/>
    <col min="5130" max="5130" width="14.140625" style="248" bestFit="1" customWidth="1"/>
    <col min="5131" max="5131" width="9.7109375" style="248" customWidth="1"/>
    <col min="5132" max="5132" width="11.140625" style="248" customWidth="1"/>
    <col min="5133" max="5133" width="10.28515625" style="248" customWidth="1"/>
    <col min="5134" max="5134" width="9.28515625" style="248" bestFit="1" customWidth="1"/>
    <col min="5135" max="5376" width="9.140625" style="248"/>
    <col min="5377" max="5377" width="46.5703125" style="248" bestFit="1" customWidth="1"/>
    <col min="5378" max="5378" width="10.42578125" style="248" customWidth="1"/>
    <col min="5379" max="5379" width="13.7109375" style="248" bestFit="1" customWidth="1"/>
    <col min="5380" max="5380" width="11.85546875" style="248" customWidth="1"/>
    <col min="5381" max="5381" width="11.5703125" style="248" customWidth="1"/>
    <col min="5382" max="5382" width="14" style="248" customWidth="1"/>
    <col min="5383" max="5383" width="14.140625" style="248" customWidth="1"/>
    <col min="5384" max="5384" width="13.140625" style="248" customWidth="1"/>
    <col min="5385" max="5385" width="13" style="248" customWidth="1"/>
    <col min="5386" max="5386" width="14.140625" style="248" bestFit="1" customWidth="1"/>
    <col min="5387" max="5387" width="9.7109375" style="248" customWidth="1"/>
    <col min="5388" max="5388" width="11.140625" style="248" customWidth="1"/>
    <col min="5389" max="5389" width="10.28515625" style="248" customWidth="1"/>
    <col min="5390" max="5390" width="9.28515625" style="248" bestFit="1" customWidth="1"/>
    <col min="5391" max="5632" width="9.140625" style="248"/>
    <col min="5633" max="5633" width="46.5703125" style="248" bestFit="1" customWidth="1"/>
    <col min="5634" max="5634" width="10.42578125" style="248" customWidth="1"/>
    <col min="5635" max="5635" width="13.7109375" style="248" bestFit="1" customWidth="1"/>
    <col min="5636" max="5636" width="11.85546875" style="248" customWidth="1"/>
    <col min="5637" max="5637" width="11.5703125" style="248" customWidth="1"/>
    <col min="5638" max="5638" width="14" style="248" customWidth="1"/>
    <col min="5639" max="5639" width="14.140625" style="248" customWidth="1"/>
    <col min="5640" max="5640" width="13.140625" style="248" customWidth="1"/>
    <col min="5641" max="5641" width="13" style="248" customWidth="1"/>
    <col min="5642" max="5642" width="14.140625" style="248" bestFit="1" customWidth="1"/>
    <col min="5643" max="5643" width="9.7109375" style="248" customWidth="1"/>
    <col min="5644" max="5644" width="11.140625" style="248" customWidth="1"/>
    <col min="5645" max="5645" width="10.28515625" style="248" customWidth="1"/>
    <col min="5646" max="5646" width="9.28515625" style="248" bestFit="1" customWidth="1"/>
    <col min="5647" max="5888" width="9.140625" style="248"/>
    <col min="5889" max="5889" width="46.5703125" style="248" bestFit="1" customWidth="1"/>
    <col min="5890" max="5890" width="10.42578125" style="248" customWidth="1"/>
    <col min="5891" max="5891" width="13.7109375" style="248" bestFit="1" customWidth="1"/>
    <col min="5892" max="5892" width="11.85546875" style="248" customWidth="1"/>
    <col min="5893" max="5893" width="11.5703125" style="248" customWidth="1"/>
    <col min="5894" max="5894" width="14" style="248" customWidth="1"/>
    <col min="5895" max="5895" width="14.140625" style="248" customWidth="1"/>
    <col min="5896" max="5896" width="13.140625" style="248" customWidth="1"/>
    <col min="5897" max="5897" width="13" style="248" customWidth="1"/>
    <col min="5898" max="5898" width="14.140625" style="248" bestFit="1" customWidth="1"/>
    <col min="5899" max="5899" width="9.7109375" style="248" customWidth="1"/>
    <col min="5900" max="5900" width="11.140625" style="248" customWidth="1"/>
    <col min="5901" max="5901" width="10.28515625" style="248" customWidth="1"/>
    <col min="5902" max="5902" width="9.28515625" style="248" bestFit="1" customWidth="1"/>
    <col min="5903" max="6144" width="9.140625" style="248"/>
    <col min="6145" max="6145" width="46.5703125" style="248" bestFit="1" customWidth="1"/>
    <col min="6146" max="6146" width="10.42578125" style="248" customWidth="1"/>
    <col min="6147" max="6147" width="13.7109375" style="248" bestFit="1" customWidth="1"/>
    <col min="6148" max="6148" width="11.85546875" style="248" customWidth="1"/>
    <col min="6149" max="6149" width="11.5703125" style="248" customWidth="1"/>
    <col min="6150" max="6150" width="14" style="248" customWidth="1"/>
    <col min="6151" max="6151" width="14.140625" style="248" customWidth="1"/>
    <col min="6152" max="6152" width="13.140625" style="248" customWidth="1"/>
    <col min="6153" max="6153" width="13" style="248" customWidth="1"/>
    <col min="6154" max="6154" width="14.140625" style="248" bestFit="1" customWidth="1"/>
    <col min="6155" max="6155" width="9.7109375" style="248" customWidth="1"/>
    <col min="6156" max="6156" width="11.140625" style="248" customWidth="1"/>
    <col min="6157" max="6157" width="10.28515625" style="248" customWidth="1"/>
    <col min="6158" max="6158" width="9.28515625" style="248" bestFit="1" customWidth="1"/>
    <col min="6159" max="6400" width="9.140625" style="248"/>
    <col min="6401" max="6401" width="46.5703125" style="248" bestFit="1" customWidth="1"/>
    <col min="6402" max="6402" width="10.42578125" style="248" customWidth="1"/>
    <col min="6403" max="6403" width="13.7109375" style="248" bestFit="1" customWidth="1"/>
    <col min="6404" max="6404" width="11.85546875" style="248" customWidth="1"/>
    <col min="6405" max="6405" width="11.5703125" style="248" customWidth="1"/>
    <col min="6406" max="6406" width="14" style="248" customWidth="1"/>
    <col min="6407" max="6407" width="14.140625" style="248" customWidth="1"/>
    <col min="6408" max="6408" width="13.140625" style="248" customWidth="1"/>
    <col min="6409" max="6409" width="13" style="248" customWidth="1"/>
    <col min="6410" max="6410" width="14.140625" style="248" bestFit="1" customWidth="1"/>
    <col min="6411" max="6411" width="9.7109375" style="248" customWidth="1"/>
    <col min="6412" max="6412" width="11.140625" style="248" customWidth="1"/>
    <col min="6413" max="6413" width="10.28515625" style="248" customWidth="1"/>
    <col min="6414" max="6414" width="9.28515625" style="248" bestFit="1" customWidth="1"/>
    <col min="6415" max="6656" width="9.140625" style="248"/>
    <col min="6657" max="6657" width="46.5703125" style="248" bestFit="1" customWidth="1"/>
    <col min="6658" max="6658" width="10.42578125" style="248" customWidth="1"/>
    <col min="6659" max="6659" width="13.7109375" style="248" bestFit="1" customWidth="1"/>
    <col min="6660" max="6660" width="11.85546875" style="248" customWidth="1"/>
    <col min="6661" max="6661" width="11.5703125" style="248" customWidth="1"/>
    <col min="6662" max="6662" width="14" style="248" customWidth="1"/>
    <col min="6663" max="6663" width="14.140625" style="248" customWidth="1"/>
    <col min="6664" max="6664" width="13.140625" style="248" customWidth="1"/>
    <col min="6665" max="6665" width="13" style="248" customWidth="1"/>
    <col min="6666" max="6666" width="14.140625" style="248" bestFit="1" customWidth="1"/>
    <col min="6667" max="6667" width="9.7109375" style="248" customWidth="1"/>
    <col min="6668" max="6668" width="11.140625" style="248" customWidth="1"/>
    <col min="6669" max="6669" width="10.28515625" style="248" customWidth="1"/>
    <col min="6670" max="6670" width="9.28515625" style="248" bestFit="1" customWidth="1"/>
    <col min="6671" max="6912" width="9.140625" style="248"/>
    <col min="6913" max="6913" width="46.5703125" style="248" bestFit="1" customWidth="1"/>
    <col min="6914" max="6914" width="10.42578125" style="248" customWidth="1"/>
    <col min="6915" max="6915" width="13.7109375" style="248" bestFit="1" customWidth="1"/>
    <col min="6916" max="6916" width="11.85546875" style="248" customWidth="1"/>
    <col min="6917" max="6917" width="11.5703125" style="248" customWidth="1"/>
    <col min="6918" max="6918" width="14" style="248" customWidth="1"/>
    <col min="6919" max="6919" width="14.140625" style="248" customWidth="1"/>
    <col min="6920" max="6920" width="13.140625" style="248" customWidth="1"/>
    <col min="6921" max="6921" width="13" style="248" customWidth="1"/>
    <col min="6922" max="6922" width="14.140625" style="248" bestFit="1" customWidth="1"/>
    <col min="6923" max="6923" width="9.7109375" style="248" customWidth="1"/>
    <col min="6924" max="6924" width="11.140625" style="248" customWidth="1"/>
    <col min="6925" max="6925" width="10.28515625" style="248" customWidth="1"/>
    <col min="6926" max="6926" width="9.28515625" style="248" bestFit="1" customWidth="1"/>
    <col min="6927" max="7168" width="9.140625" style="248"/>
    <col min="7169" max="7169" width="46.5703125" style="248" bestFit="1" customWidth="1"/>
    <col min="7170" max="7170" width="10.42578125" style="248" customWidth="1"/>
    <col min="7171" max="7171" width="13.7109375" style="248" bestFit="1" customWidth="1"/>
    <col min="7172" max="7172" width="11.85546875" style="248" customWidth="1"/>
    <col min="7173" max="7173" width="11.5703125" style="248" customWidth="1"/>
    <col min="7174" max="7174" width="14" style="248" customWidth="1"/>
    <col min="7175" max="7175" width="14.140625" style="248" customWidth="1"/>
    <col min="7176" max="7176" width="13.140625" style="248" customWidth="1"/>
    <col min="7177" max="7177" width="13" style="248" customWidth="1"/>
    <col min="7178" max="7178" width="14.140625" style="248" bestFit="1" customWidth="1"/>
    <col min="7179" max="7179" width="9.7109375" style="248" customWidth="1"/>
    <col min="7180" max="7180" width="11.140625" style="248" customWidth="1"/>
    <col min="7181" max="7181" width="10.28515625" style="248" customWidth="1"/>
    <col min="7182" max="7182" width="9.28515625" style="248" bestFit="1" customWidth="1"/>
    <col min="7183" max="7424" width="9.140625" style="248"/>
    <col min="7425" max="7425" width="46.5703125" style="248" bestFit="1" customWidth="1"/>
    <col min="7426" max="7426" width="10.42578125" style="248" customWidth="1"/>
    <col min="7427" max="7427" width="13.7109375" style="248" bestFit="1" customWidth="1"/>
    <col min="7428" max="7428" width="11.85546875" style="248" customWidth="1"/>
    <col min="7429" max="7429" width="11.5703125" style="248" customWidth="1"/>
    <col min="7430" max="7430" width="14" style="248" customWidth="1"/>
    <col min="7431" max="7431" width="14.140625" style="248" customWidth="1"/>
    <col min="7432" max="7432" width="13.140625" style="248" customWidth="1"/>
    <col min="7433" max="7433" width="13" style="248" customWidth="1"/>
    <col min="7434" max="7434" width="14.140625" style="248" bestFit="1" customWidth="1"/>
    <col min="7435" max="7435" width="9.7109375" style="248" customWidth="1"/>
    <col min="7436" max="7436" width="11.140625" style="248" customWidth="1"/>
    <col min="7437" max="7437" width="10.28515625" style="248" customWidth="1"/>
    <col min="7438" max="7438" width="9.28515625" style="248" bestFit="1" customWidth="1"/>
    <col min="7439" max="7680" width="9.140625" style="248"/>
    <col min="7681" max="7681" width="46.5703125" style="248" bestFit="1" customWidth="1"/>
    <col min="7682" max="7682" width="10.42578125" style="248" customWidth="1"/>
    <col min="7683" max="7683" width="13.7109375" style="248" bestFit="1" customWidth="1"/>
    <col min="7684" max="7684" width="11.85546875" style="248" customWidth="1"/>
    <col min="7685" max="7685" width="11.5703125" style="248" customWidth="1"/>
    <col min="7686" max="7686" width="14" style="248" customWidth="1"/>
    <col min="7687" max="7687" width="14.140625" style="248" customWidth="1"/>
    <col min="7688" max="7688" width="13.140625" style="248" customWidth="1"/>
    <col min="7689" max="7689" width="13" style="248" customWidth="1"/>
    <col min="7690" max="7690" width="14.140625" style="248" bestFit="1" customWidth="1"/>
    <col min="7691" max="7691" width="9.7109375" style="248" customWidth="1"/>
    <col min="7692" max="7692" width="11.140625" style="248" customWidth="1"/>
    <col min="7693" max="7693" width="10.28515625" style="248" customWidth="1"/>
    <col min="7694" max="7694" width="9.28515625" style="248" bestFit="1" customWidth="1"/>
    <col min="7695" max="7936" width="9.140625" style="248"/>
    <col min="7937" max="7937" width="46.5703125" style="248" bestFit="1" customWidth="1"/>
    <col min="7938" max="7938" width="10.42578125" style="248" customWidth="1"/>
    <col min="7939" max="7939" width="13.7109375" style="248" bestFit="1" customWidth="1"/>
    <col min="7940" max="7940" width="11.85546875" style="248" customWidth="1"/>
    <col min="7941" max="7941" width="11.5703125" style="248" customWidth="1"/>
    <col min="7942" max="7942" width="14" style="248" customWidth="1"/>
    <col min="7943" max="7943" width="14.140625" style="248" customWidth="1"/>
    <col min="7944" max="7944" width="13.140625" style="248" customWidth="1"/>
    <col min="7945" max="7945" width="13" style="248" customWidth="1"/>
    <col min="7946" max="7946" width="14.140625" style="248" bestFit="1" customWidth="1"/>
    <col min="7947" max="7947" width="9.7109375" style="248" customWidth="1"/>
    <col min="7948" max="7948" width="11.140625" style="248" customWidth="1"/>
    <col min="7949" max="7949" width="10.28515625" style="248" customWidth="1"/>
    <col min="7950" max="7950" width="9.28515625" style="248" bestFit="1" customWidth="1"/>
    <col min="7951" max="8192" width="9.140625" style="248"/>
    <col min="8193" max="8193" width="46.5703125" style="248" bestFit="1" customWidth="1"/>
    <col min="8194" max="8194" width="10.42578125" style="248" customWidth="1"/>
    <col min="8195" max="8195" width="13.7109375" style="248" bestFit="1" customWidth="1"/>
    <col min="8196" max="8196" width="11.85546875" style="248" customWidth="1"/>
    <col min="8197" max="8197" width="11.5703125" style="248" customWidth="1"/>
    <col min="8198" max="8198" width="14" style="248" customWidth="1"/>
    <col min="8199" max="8199" width="14.140625" style="248" customWidth="1"/>
    <col min="8200" max="8200" width="13.140625" style="248" customWidth="1"/>
    <col min="8201" max="8201" width="13" style="248" customWidth="1"/>
    <col min="8202" max="8202" width="14.140625" style="248" bestFit="1" customWidth="1"/>
    <col min="8203" max="8203" width="9.7109375" style="248" customWidth="1"/>
    <col min="8204" max="8204" width="11.140625" style="248" customWidth="1"/>
    <col min="8205" max="8205" width="10.28515625" style="248" customWidth="1"/>
    <col min="8206" max="8206" width="9.28515625" style="248" bestFit="1" customWidth="1"/>
    <col min="8207" max="8448" width="9.140625" style="248"/>
    <col min="8449" max="8449" width="46.5703125" style="248" bestFit="1" customWidth="1"/>
    <col min="8450" max="8450" width="10.42578125" style="248" customWidth="1"/>
    <col min="8451" max="8451" width="13.7109375" style="248" bestFit="1" customWidth="1"/>
    <col min="8452" max="8452" width="11.85546875" style="248" customWidth="1"/>
    <col min="8453" max="8453" width="11.5703125" style="248" customWidth="1"/>
    <col min="8454" max="8454" width="14" style="248" customWidth="1"/>
    <col min="8455" max="8455" width="14.140625" style="248" customWidth="1"/>
    <col min="8456" max="8456" width="13.140625" style="248" customWidth="1"/>
    <col min="8457" max="8457" width="13" style="248" customWidth="1"/>
    <col min="8458" max="8458" width="14.140625" style="248" bestFit="1" customWidth="1"/>
    <col min="8459" max="8459" width="9.7109375" style="248" customWidth="1"/>
    <col min="8460" max="8460" width="11.140625" style="248" customWidth="1"/>
    <col min="8461" max="8461" width="10.28515625" style="248" customWidth="1"/>
    <col min="8462" max="8462" width="9.28515625" style="248" bestFit="1" customWidth="1"/>
    <col min="8463" max="8704" width="9.140625" style="248"/>
    <col min="8705" max="8705" width="46.5703125" style="248" bestFit="1" customWidth="1"/>
    <col min="8706" max="8706" width="10.42578125" style="248" customWidth="1"/>
    <col min="8707" max="8707" width="13.7109375" style="248" bestFit="1" customWidth="1"/>
    <col min="8708" max="8708" width="11.85546875" style="248" customWidth="1"/>
    <col min="8709" max="8709" width="11.5703125" style="248" customWidth="1"/>
    <col min="8710" max="8710" width="14" style="248" customWidth="1"/>
    <col min="8711" max="8711" width="14.140625" style="248" customWidth="1"/>
    <col min="8712" max="8712" width="13.140625" style="248" customWidth="1"/>
    <col min="8713" max="8713" width="13" style="248" customWidth="1"/>
    <col min="8714" max="8714" width="14.140625" style="248" bestFit="1" customWidth="1"/>
    <col min="8715" max="8715" width="9.7109375" style="248" customWidth="1"/>
    <col min="8716" max="8716" width="11.140625" style="248" customWidth="1"/>
    <col min="8717" max="8717" width="10.28515625" style="248" customWidth="1"/>
    <col min="8718" max="8718" width="9.28515625" style="248" bestFit="1" customWidth="1"/>
    <col min="8719" max="8960" width="9.140625" style="248"/>
    <col min="8961" max="8961" width="46.5703125" style="248" bestFit="1" customWidth="1"/>
    <col min="8962" max="8962" width="10.42578125" style="248" customWidth="1"/>
    <col min="8963" max="8963" width="13.7109375" style="248" bestFit="1" customWidth="1"/>
    <col min="8964" max="8964" width="11.85546875" style="248" customWidth="1"/>
    <col min="8965" max="8965" width="11.5703125" style="248" customWidth="1"/>
    <col min="8966" max="8966" width="14" style="248" customWidth="1"/>
    <col min="8967" max="8967" width="14.140625" style="248" customWidth="1"/>
    <col min="8968" max="8968" width="13.140625" style="248" customWidth="1"/>
    <col min="8969" max="8969" width="13" style="248" customWidth="1"/>
    <col min="8970" max="8970" width="14.140625" style="248" bestFit="1" customWidth="1"/>
    <col min="8971" max="8971" width="9.7109375" style="248" customWidth="1"/>
    <col min="8972" max="8972" width="11.140625" style="248" customWidth="1"/>
    <col min="8973" max="8973" width="10.28515625" style="248" customWidth="1"/>
    <col min="8974" max="8974" width="9.28515625" style="248" bestFit="1" customWidth="1"/>
    <col min="8975" max="9216" width="9.140625" style="248"/>
    <col min="9217" max="9217" width="46.5703125" style="248" bestFit="1" customWidth="1"/>
    <col min="9218" max="9218" width="10.42578125" style="248" customWidth="1"/>
    <col min="9219" max="9219" width="13.7109375" style="248" bestFit="1" customWidth="1"/>
    <col min="9220" max="9220" width="11.85546875" style="248" customWidth="1"/>
    <col min="9221" max="9221" width="11.5703125" style="248" customWidth="1"/>
    <col min="9222" max="9222" width="14" style="248" customWidth="1"/>
    <col min="9223" max="9223" width="14.140625" style="248" customWidth="1"/>
    <col min="9224" max="9224" width="13.140625" style="248" customWidth="1"/>
    <col min="9225" max="9225" width="13" style="248" customWidth="1"/>
    <col min="9226" max="9226" width="14.140625" style="248" bestFit="1" customWidth="1"/>
    <col min="9227" max="9227" width="9.7109375" style="248" customWidth="1"/>
    <col min="9228" max="9228" width="11.140625" style="248" customWidth="1"/>
    <col min="9229" max="9229" width="10.28515625" style="248" customWidth="1"/>
    <col min="9230" max="9230" width="9.28515625" style="248" bestFit="1" customWidth="1"/>
    <col min="9231" max="9472" width="9.140625" style="248"/>
    <col min="9473" max="9473" width="46.5703125" style="248" bestFit="1" customWidth="1"/>
    <col min="9474" max="9474" width="10.42578125" style="248" customWidth="1"/>
    <col min="9475" max="9475" width="13.7109375" style="248" bestFit="1" customWidth="1"/>
    <col min="9476" max="9476" width="11.85546875" style="248" customWidth="1"/>
    <col min="9477" max="9477" width="11.5703125" style="248" customWidth="1"/>
    <col min="9478" max="9478" width="14" style="248" customWidth="1"/>
    <col min="9479" max="9479" width="14.140625" style="248" customWidth="1"/>
    <col min="9480" max="9480" width="13.140625" style="248" customWidth="1"/>
    <col min="9481" max="9481" width="13" style="248" customWidth="1"/>
    <col min="9482" max="9482" width="14.140625" style="248" bestFit="1" customWidth="1"/>
    <col min="9483" max="9483" width="9.7109375" style="248" customWidth="1"/>
    <col min="9484" max="9484" width="11.140625" style="248" customWidth="1"/>
    <col min="9485" max="9485" width="10.28515625" style="248" customWidth="1"/>
    <col min="9486" max="9486" width="9.28515625" style="248" bestFit="1" customWidth="1"/>
    <col min="9487" max="9728" width="9.140625" style="248"/>
    <col min="9729" max="9729" width="46.5703125" style="248" bestFit="1" customWidth="1"/>
    <col min="9730" max="9730" width="10.42578125" style="248" customWidth="1"/>
    <col min="9731" max="9731" width="13.7109375" style="248" bestFit="1" customWidth="1"/>
    <col min="9732" max="9732" width="11.85546875" style="248" customWidth="1"/>
    <col min="9733" max="9733" width="11.5703125" style="248" customWidth="1"/>
    <col min="9734" max="9734" width="14" style="248" customWidth="1"/>
    <col min="9735" max="9735" width="14.140625" style="248" customWidth="1"/>
    <col min="9736" max="9736" width="13.140625" style="248" customWidth="1"/>
    <col min="9737" max="9737" width="13" style="248" customWidth="1"/>
    <col min="9738" max="9738" width="14.140625" style="248" bestFit="1" customWidth="1"/>
    <col min="9739" max="9739" width="9.7109375" style="248" customWidth="1"/>
    <col min="9740" max="9740" width="11.140625" style="248" customWidth="1"/>
    <col min="9741" max="9741" width="10.28515625" style="248" customWidth="1"/>
    <col min="9742" max="9742" width="9.28515625" style="248" bestFit="1" customWidth="1"/>
    <col min="9743" max="9984" width="9.140625" style="248"/>
    <col min="9985" max="9985" width="46.5703125" style="248" bestFit="1" customWidth="1"/>
    <col min="9986" max="9986" width="10.42578125" style="248" customWidth="1"/>
    <col min="9987" max="9987" width="13.7109375" style="248" bestFit="1" customWidth="1"/>
    <col min="9988" max="9988" width="11.85546875" style="248" customWidth="1"/>
    <col min="9989" max="9989" width="11.5703125" style="248" customWidth="1"/>
    <col min="9990" max="9990" width="14" style="248" customWidth="1"/>
    <col min="9991" max="9991" width="14.140625" style="248" customWidth="1"/>
    <col min="9992" max="9992" width="13.140625" style="248" customWidth="1"/>
    <col min="9993" max="9993" width="13" style="248" customWidth="1"/>
    <col min="9994" max="9994" width="14.140625" style="248" bestFit="1" customWidth="1"/>
    <col min="9995" max="9995" width="9.7109375" style="248" customWidth="1"/>
    <col min="9996" max="9996" width="11.140625" style="248" customWidth="1"/>
    <col min="9997" max="9997" width="10.28515625" style="248" customWidth="1"/>
    <col min="9998" max="9998" width="9.28515625" style="248" bestFit="1" customWidth="1"/>
    <col min="9999" max="10240" width="9.140625" style="248"/>
    <col min="10241" max="10241" width="46.5703125" style="248" bestFit="1" customWidth="1"/>
    <col min="10242" max="10242" width="10.42578125" style="248" customWidth="1"/>
    <col min="10243" max="10243" width="13.7109375" style="248" bestFit="1" customWidth="1"/>
    <col min="10244" max="10244" width="11.85546875" style="248" customWidth="1"/>
    <col min="10245" max="10245" width="11.5703125" style="248" customWidth="1"/>
    <col min="10246" max="10246" width="14" style="248" customWidth="1"/>
    <col min="10247" max="10247" width="14.140625" style="248" customWidth="1"/>
    <col min="10248" max="10248" width="13.140625" style="248" customWidth="1"/>
    <col min="10249" max="10249" width="13" style="248" customWidth="1"/>
    <col min="10250" max="10250" width="14.140625" style="248" bestFit="1" customWidth="1"/>
    <col min="10251" max="10251" width="9.7109375" style="248" customWidth="1"/>
    <col min="10252" max="10252" width="11.140625" style="248" customWidth="1"/>
    <col min="10253" max="10253" width="10.28515625" style="248" customWidth="1"/>
    <col min="10254" max="10254" width="9.28515625" style="248" bestFit="1" customWidth="1"/>
    <col min="10255" max="10496" width="9.140625" style="248"/>
    <col min="10497" max="10497" width="46.5703125" style="248" bestFit="1" customWidth="1"/>
    <col min="10498" max="10498" width="10.42578125" style="248" customWidth="1"/>
    <col min="10499" max="10499" width="13.7109375" style="248" bestFit="1" customWidth="1"/>
    <col min="10500" max="10500" width="11.85546875" style="248" customWidth="1"/>
    <col min="10501" max="10501" width="11.5703125" style="248" customWidth="1"/>
    <col min="10502" max="10502" width="14" style="248" customWidth="1"/>
    <col min="10503" max="10503" width="14.140625" style="248" customWidth="1"/>
    <col min="10504" max="10504" width="13.140625" style="248" customWidth="1"/>
    <col min="10505" max="10505" width="13" style="248" customWidth="1"/>
    <col min="10506" max="10506" width="14.140625" style="248" bestFit="1" customWidth="1"/>
    <col min="10507" max="10507" width="9.7109375" style="248" customWidth="1"/>
    <col min="10508" max="10508" width="11.140625" style="248" customWidth="1"/>
    <col min="10509" max="10509" width="10.28515625" style="248" customWidth="1"/>
    <col min="10510" max="10510" width="9.28515625" style="248" bestFit="1" customWidth="1"/>
    <col min="10511" max="10752" width="9.140625" style="248"/>
    <col min="10753" max="10753" width="46.5703125" style="248" bestFit="1" customWidth="1"/>
    <col min="10754" max="10754" width="10.42578125" style="248" customWidth="1"/>
    <col min="10755" max="10755" width="13.7109375" style="248" bestFit="1" customWidth="1"/>
    <col min="10756" max="10756" width="11.85546875" style="248" customWidth="1"/>
    <col min="10757" max="10757" width="11.5703125" style="248" customWidth="1"/>
    <col min="10758" max="10758" width="14" style="248" customWidth="1"/>
    <col min="10759" max="10759" width="14.140625" style="248" customWidth="1"/>
    <col min="10760" max="10760" width="13.140625" style="248" customWidth="1"/>
    <col min="10761" max="10761" width="13" style="248" customWidth="1"/>
    <col min="10762" max="10762" width="14.140625" style="248" bestFit="1" customWidth="1"/>
    <col min="10763" max="10763" width="9.7109375" style="248" customWidth="1"/>
    <col min="10764" max="10764" width="11.140625" style="248" customWidth="1"/>
    <col min="10765" max="10765" width="10.28515625" style="248" customWidth="1"/>
    <col min="10766" max="10766" width="9.28515625" style="248" bestFit="1" customWidth="1"/>
    <col min="10767" max="11008" width="9.140625" style="248"/>
    <col min="11009" max="11009" width="46.5703125" style="248" bestFit="1" customWidth="1"/>
    <col min="11010" max="11010" width="10.42578125" style="248" customWidth="1"/>
    <col min="11011" max="11011" width="13.7109375" style="248" bestFit="1" customWidth="1"/>
    <col min="11012" max="11012" width="11.85546875" style="248" customWidth="1"/>
    <col min="11013" max="11013" width="11.5703125" style="248" customWidth="1"/>
    <col min="11014" max="11014" width="14" style="248" customWidth="1"/>
    <col min="11015" max="11015" width="14.140625" style="248" customWidth="1"/>
    <col min="11016" max="11016" width="13.140625" style="248" customWidth="1"/>
    <col min="11017" max="11017" width="13" style="248" customWidth="1"/>
    <col min="11018" max="11018" width="14.140625" style="248" bestFit="1" customWidth="1"/>
    <col min="11019" max="11019" width="9.7109375" style="248" customWidth="1"/>
    <col min="11020" max="11020" width="11.140625" style="248" customWidth="1"/>
    <col min="11021" max="11021" width="10.28515625" style="248" customWidth="1"/>
    <col min="11022" max="11022" width="9.28515625" style="248" bestFit="1" customWidth="1"/>
    <col min="11023" max="11264" width="9.140625" style="248"/>
    <col min="11265" max="11265" width="46.5703125" style="248" bestFit="1" customWidth="1"/>
    <col min="11266" max="11266" width="10.42578125" style="248" customWidth="1"/>
    <col min="11267" max="11267" width="13.7109375" style="248" bestFit="1" customWidth="1"/>
    <col min="11268" max="11268" width="11.85546875" style="248" customWidth="1"/>
    <col min="11269" max="11269" width="11.5703125" style="248" customWidth="1"/>
    <col min="11270" max="11270" width="14" style="248" customWidth="1"/>
    <col min="11271" max="11271" width="14.140625" style="248" customWidth="1"/>
    <col min="11272" max="11272" width="13.140625" style="248" customWidth="1"/>
    <col min="11273" max="11273" width="13" style="248" customWidth="1"/>
    <col min="11274" max="11274" width="14.140625" style="248" bestFit="1" customWidth="1"/>
    <col min="11275" max="11275" width="9.7109375" style="248" customWidth="1"/>
    <col min="11276" max="11276" width="11.140625" style="248" customWidth="1"/>
    <col min="11277" max="11277" width="10.28515625" style="248" customWidth="1"/>
    <col min="11278" max="11278" width="9.28515625" style="248" bestFit="1" customWidth="1"/>
    <col min="11279" max="11520" width="9.140625" style="248"/>
    <col min="11521" max="11521" width="46.5703125" style="248" bestFit="1" customWidth="1"/>
    <col min="11522" max="11522" width="10.42578125" style="248" customWidth="1"/>
    <col min="11523" max="11523" width="13.7109375" style="248" bestFit="1" customWidth="1"/>
    <col min="11524" max="11524" width="11.85546875" style="248" customWidth="1"/>
    <col min="11525" max="11525" width="11.5703125" style="248" customWidth="1"/>
    <col min="11526" max="11526" width="14" style="248" customWidth="1"/>
    <col min="11527" max="11527" width="14.140625" style="248" customWidth="1"/>
    <col min="11528" max="11528" width="13.140625" style="248" customWidth="1"/>
    <col min="11529" max="11529" width="13" style="248" customWidth="1"/>
    <col min="11530" max="11530" width="14.140625" style="248" bestFit="1" customWidth="1"/>
    <col min="11531" max="11531" width="9.7109375" style="248" customWidth="1"/>
    <col min="11532" max="11532" width="11.140625" style="248" customWidth="1"/>
    <col min="11533" max="11533" width="10.28515625" style="248" customWidth="1"/>
    <col min="11534" max="11534" width="9.28515625" style="248" bestFit="1" customWidth="1"/>
    <col min="11535" max="11776" width="9.140625" style="248"/>
    <col min="11777" max="11777" width="46.5703125" style="248" bestFit="1" customWidth="1"/>
    <col min="11778" max="11778" width="10.42578125" style="248" customWidth="1"/>
    <col min="11779" max="11779" width="13.7109375" style="248" bestFit="1" customWidth="1"/>
    <col min="11780" max="11780" width="11.85546875" style="248" customWidth="1"/>
    <col min="11781" max="11781" width="11.5703125" style="248" customWidth="1"/>
    <col min="11782" max="11782" width="14" style="248" customWidth="1"/>
    <col min="11783" max="11783" width="14.140625" style="248" customWidth="1"/>
    <col min="11784" max="11784" width="13.140625" style="248" customWidth="1"/>
    <col min="11785" max="11785" width="13" style="248" customWidth="1"/>
    <col min="11786" max="11786" width="14.140625" style="248" bestFit="1" customWidth="1"/>
    <col min="11787" max="11787" width="9.7109375" style="248" customWidth="1"/>
    <col min="11788" max="11788" width="11.140625" style="248" customWidth="1"/>
    <col min="11789" max="11789" width="10.28515625" style="248" customWidth="1"/>
    <col min="11790" max="11790" width="9.28515625" style="248" bestFit="1" customWidth="1"/>
    <col min="11791" max="12032" width="9.140625" style="248"/>
    <col min="12033" max="12033" width="46.5703125" style="248" bestFit="1" customWidth="1"/>
    <col min="12034" max="12034" width="10.42578125" style="248" customWidth="1"/>
    <col min="12035" max="12035" width="13.7109375" style="248" bestFit="1" customWidth="1"/>
    <col min="12036" max="12036" width="11.85546875" style="248" customWidth="1"/>
    <col min="12037" max="12037" width="11.5703125" style="248" customWidth="1"/>
    <col min="12038" max="12038" width="14" style="248" customWidth="1"/>
    <col min="12039" max="12039" width="14.140625" style="248" customWidth="1"/>
    <col min="12040" max="12040" width="13.140625" style="248" customWidth="1"/>
    <col min="12041" max="12041" width="13" style="248" customWidth="1"/>
    <col min="12042" max="12042" width="14.140625" style="248" bestFit="1" customWidth="1"/>
    <col min="12043" max="12043" width="9.7109375" style="248" customWidth="1"/>
    <col min="12044" max="12044" width="11.140625" style="248" customWidth="1"/>
    <col min="12045" max="12045" width="10.28515625" style="248" customWidth="1"/>
    <col min="12046" max="12046" width="9.28515625" style="248" bestFit="1" customWidth="1"/>
    <col min="12047" max="12288" width="9.140625" style="248"/>
    <col min="12289" max="12289" width="46.5703125" style="248" bestFit="1" customWidth="1"/>
    <col min="12290" max="12290" width="10.42578125" style="248" customWidth="1"/>
    <col min="12291" max="12291" width="13.7109375" style="248" bestFit="1" customWidth="1"/>
    <col min="12292" max="12292" width="11.85546875" style="248" customWidth="1"/>
    <col min="12293" max="12293" width="11.5703125" style="248" customWidth="1"/>
    <col min="12294" max="12294" width="14" style="248" customWidth="1"/>
    <col min="12295" max="12295" width="14.140625" style="248" customWidth="1"/>
    <col min="12296" max="12296" width="13.140625" style="248" customWidth="1"/>
    <col min="12297" max="12297" width="13" style="248" customWidth="1"/>
    <col min="12298" max="12298" width="14.140625" style="248" bestFit="1" customWidth="1"/>
    <col min="12299" max="12299" width="9.7109375" style="248" customWidth="1"/>
    <col min="12300" max="12300" width="11.140625" style="248" customWidth="1"/>
    <col min="12301" max="12301" width="10.28515625" style="248" customWidth="1"/>
    <col min="12302" max="12302" width="9.28515625" style="248" bestFit="1" customWidth="1"/>
    <col min="12303" max="12544" width="9.140625" style="248"/>
    <col min="12545" max="12545" width="46.5703125" style="248" bestFit="1" customWidth="1"/>
    <col min="12546" max="12546" width="10.42578125" style="248" customWidth="1"/>
    <col min="12547" max="12547" width="13.7109375" style="248" bestFit="1" customWidth="1"/>
    <col min="12548" max="12548" width="11.85546875" style="248" customWidth="1"/>
    <col min="12549" max="12549" width="11.5703125" style="248" customWidth="1"/>
    <col min="12550" max="12550" width="14" style="248" customWidth="1"/>
    <col min="12551" max="12551" width="14.140625" style="248" customWidth="1"/>
    <col min="12552" max="12552" width="13.140625" style="248" customWidth="1"/>
    <col min="12553" max="12553" width="13" style="248" customWidth="1"/>
    <col min="12554" max="12554" width="14.140625" style="248" bestFit="1" customWidth="1"/>
    <col min="12555" max="12555" width="9.7109375" style="248" customWidth="1"/>
    <col min="12556" max="12556" width="11.140625" style="248" customWidth="1"/>
    <col min="12557" max="12557" width="10.28515625" style="248" customWidth="1"/>
    <col min="12558" max="12558" width="9.28515625" style="248" bestFit="1" customWidth="1"/>
    <col min="12559" max="12800" width="9.140625" style="248"/>
    <col min="12801" max="12801" width="46.5703125" style="248" bestFit="1" customWidth="1"/>
    <col min="12802" max="12802" width="10.42578125" style="248" customWidth="1"/>
    <col min="12803" max="12803" width="13.7109375" style="248" bestFit="1" customWidth="1"/>
    <col min="12804" max="12804" width="11.85546875" style="248" customWidth="1"/>
    <col min="12805" max="12805" width="11.5703125" style="248" customWidth="1"/>
    <col min="12806" max="12806" width="14" style="248" customWidth="1"/>
    <col min="12807" max="12807" width="14.140625" style="248" customWidth="1"/>
    <col min="12808" max="12808" width="13.140625" style="248" customWidth="1"/>
    <col min="12809" max="12809" width="13" style="248" customWidth="1"/>
    <col min="12810" max="12810" width="14.140625" style="248" bestFit="1" customWidth="1"/>
    <col min="12811" max="12811" width="9.7109375" style="248" customWidth="1"/>
    <col min="12812" max="12812" width="11.140625" style="248" customWidth="1"/>
    <col min="12813" max="12813" width="10.28515625" style="248" customWidth="1"/>
    <col min="12814" max="12814" width="9.28515625" style="248" bestFit="1" customWidth="1"/>
    <col min="12815" max="13056" width="9.140625" style="248"/>
    <col min="13057" max="13057" width="46.5703125" style="248" bestFit="1" customWidth="1"/>
    <col min="13058" max="13058" width="10.42578125" style="248" customWidth="1"/>
    <col min="13059" max="13059" width="13.7109375" style="248" bestFit="1" customWidth="1"/>
    <col min="13060" max="13060" width="11.85546875" style="248" customWidth="1"/>
    <col min="13061" max="13061" width="11.5703125" style="248" customWidth="1"/>
    <col min="13062" max="13062" width="14" style="248" customWidth="1"/>
    <col min="13063" max="13063" width="14.140625" style="248" customWidth="1"/>
    <col min="13064" max="13064" width="13.140625" style="248" customWidth="1"/>
    <col min="13065" max="13065" width="13" style="248" customWidth="1"/>
    <col min="13066" max="13066" width="14.140625" style="248" bestFit="1" customWidth="1"/>
    <col min="13067" max="13067" width="9.7109375" style="248" customWidth="1"/>
    <col min="13068" max="13068" width="11.140625" style="248" customWidth="1"/>
    <col min="13069" max="13069" width="10.28515625" style="248" customWidth="1"/>
    <col min="13070" max="13070" width="9.28515625" style="248" bestFit="1" customWidth="1"/>
    <col min="13071" max="13312" width="9.140625" style="248"/>
    <col min="13313" max="13313" width="46.5703125" style="248" bestFit="1" customWidth="1"/>
    <col min="13314" max="13314" width="10.42578125" style="248" customWidth="1"/>
    <col min="13315" max="13315" width="13.7109375" style="248" bestFit="1" customWidth="1"/>
    <col min="13316" max="13316" width="11.85546875" style="248" customWidth="1"/>
    <col min="13317" max="13317" width="11.5703125" style="248" customWidth="1"/>
    <col min="13318" max="13318" width="14" style="248" customWidth="1"/>
    <col min="13319" max="13319" width="14.140625" style="248" customWidth="1"/>
    <col min="13320" max="13320" width="13.140625" style="248" customWidth="1"/>
    <col min="13321" max="13321" width="13" style="248" customWidth="1"/>
    <col min="13322" max="13322" width="14.140625" style="248" bestFit="1" customWidth="1"/>
    <col min="13323" max="13323" width="9.7109375" style="248" customWidth="1"/>
    <col min="13324" max="13324" width="11.140625" style="248" customWidth="1"/>
    <col min="13325" max="13325" width="10.28515625" style="248" customWidth="1"/>
    <col min="13326" max="13326" width="9.28515625" style="248" bestFit="1" customWidth="1"/>
    <col min="13327" max="13568" width="9.140625" style="248"/>
    <col min="13569" max="13569" width="46.5703125" style="248" bestFit="1" customWidth="1"/>
    <col min="13570" max="13570" width="10.42578125" style="248" customWidth="1"/>
    <col min="13571" max="13571" width="13.7109375" style="248" bestFit="1" customWidth="1"/>
    <col min="13572" max="13572" width="11.85546875" style="248" customWidth="1"/>
    <col min="13573" max="13573" width="11.5703125" style="248" customWidth="1"/>
    <col min="13574" max="13574" width="14" style="248" customWidth="1"/>
    <col min="13575" max="13575" width="14.140625" style="248" customWidth="1"/>
    <col min="13576" max="13576" width="13.140625" style="248" customWidth="1"/>
    <col min="13577" max="13577" width="13" style="248" customWidth="1"/>
    <col min="13578" max="13578" width="14.140625" style="248" bestFit="1" customWidth="1"/>
    <col min="13579" max="13579" width="9.7109375" style="248" customWidth="1"/>
    <col min="13580" max="13580" width="11.140625" style="248" customWidth="1"/>
    <col min="13581" max="13581" width="10.28515625" style="248" customWidth="1"/>
    <col min="13582" max="13582" width="9.28515625" style="248" bestFit="1" customWidth="1"/>
    <col min="13583" max="13824" width="9.140625" style="248"/>
    <col min="13825" max="13825" width="46.5703125" style="248" bestFit="1" customWidth="1"/>
    <col min="13826" max="13826" width="10.42578125" style="248" customWidth="1"/>
    <col min="13827" max="13827" width="13.7109375" style="248" bestFit="1" customWidth="1"/>
    <col min="13828" max="13828" width="11.85546875" style="248" customWidth="1"/>
    <col min="13829" max="13829" width="11.5703125" style="248" customWidth="1"/>
    <col min="13830" max="13830" width="14" style="248" customWidth="1"/>
    <col min="13831" max="13831" width="14.140625" style="248" customWidth="1"/>
    <col min="13832" max="13832" width="13.140625" style="248" customWidth="1"/>
    <col min="13833" max="13833" width="13" style="248" customWidth="1"/>
    <col min="13834" max="13834" width="14.140625" style="248" bestFit="1" customWidth="1"/>
    <col min="13835" max="13835" width="9.7109375" style="248" customWidth="1"/>
    <col min="13836" max="13836" width="11.140625" style="248" customWidth="1"/>
    <col min="13837" max="13837" width="10.28515625" style="248" customWidth="1"/>
    <col min="13838" max="13838" width="9.28515625" style="248" bestFit="1" customWidth="1"/>
    <col min="13839" max="14080" width="9.140625" style="248"/>
    <col min="14081" max="14081" width="46.5703125" style="248" bestFit="1" customWidth="1"/>
    <col min="14082" max="14082" width="10.42578125" style="248" customWidth="1"/>
    <col min="14083" max="14083" width="13.7109375" style="248" bestFit="1" customWidth="1"/>
    <col min="14084" max="14084" width="11.85546875" style="248" customWidth="1"/>
    <col min="14085" max="14085" width="11.5703125" style="248" customWidth="1"/>
    <col min="14086" max="14086" width="14" style="248" customWidth="1"/>
    <col min="14087" max="14087" width="14.140625" style="248" customWidth="1"/>
    <col min="14088" max="14088" width="13.140625" style="248" customWidth="1"/>
    <col min="14089" max="14089" width="13" style="248" customWidth="1"/>
    <col min="14090" max="14090" width="14.140625" style="248" bestFit="1" customWidth="1"/>
    <col min="14091" max="14091" width="9.7109375" style="248" customWidth="1"/>
    <col min="14092" max="14092" width="11.140625" style="248" customWidth="1"/>
    <col min="14093" max="14093" width="10.28515625" style="248" customWidth="1"/>
    <col min="14094" max="14094" width="9.28515625" style="248" bestFit="1" customWidth="1"/>
    <col min="14095" max="14336" width="9.140625" style="248"/>
    <col min="14337" max="14337" width="46.5703125" style="248" bestFit="1" customWidth="1"/>
    <col min="14338" max="14338" width="10.42578125" style="248" customWidth="1"/>
    <col min="14339" max="14339" width="13.7109375" style="248" bestFit="1" customWidth="1"/>
    <col min="14340" max="14340" width="11.85546875" style="248" customWidth="1"/>
    <col min="14341" max="14341" width="11.5703125" style="248" customWidth="1"/>
    <col min="14342" max="14342" width="14" style="248" customWidth="1"/>
    <col min="14343" max="14343" width="14.140625" style="248" customWidth="1"/>
    <col min="14344" max="14344" width="13.140625" style="248" customWidth="1"/>
    <col min="14345" max="14345" width="13" style="248" customWidth="1"/>
    <col min="14346" max="14346" width="14.140625" style="248" bestFit="1" customWidth="1"/>
    <col min="14347" max="14347" width="9.7109375" style="248" customWidth="1"/>
    <col min="14348" max="14348" width="11.140625" style="248" customWidth="1"/>
    <col min="14349" max="14349" width="10.28515625" style="248" customWidth="1"/>
    <col min="14350" max="14350" width="9.28515625" style="248" bestFit="1" customWidth="1"/>
    <col min="14351" max="14592" width="9.140625" style="248"/>
    <col min="14593" max="14593" width="46.5703125" style="248" bestFit="1" customWidth="1"/>
    <col min="14594" max="14594" width="10.42578125" style="248" customWidth="1"/>
    <col min="14595" max="14595" width="13.7109375" style="248" bestFit="1" customWidth="1"/>
    <col min="14596" max="14596" width="11.85546875" style="248" customWidth="1"/>
    <col min="14597" max="14597" width="11.5703125" style="248" customWidth="1"/>
    <col min="14598" max="14598" width="14" style="248" customWidth="1"/>
    <col min="14599" max="14599" width="14.140625" style="248" customWidth="1"/>
    <col min="14600" max="14600" width="13.140625" style="248" customWidth="1"/>
    <col min="14601" max="14601" width="13" style="248" customWidth="1"/>
    <col min="14602" max="14602" width="14.140625" style="248" bestFit="1" customWidth="1"/>
    <col min="14603" max="14603" width="9.7109375" style="248" customWidth="1"/>
    <col min="14604" max="14604" width="11.140625" style="248" customWidth="1"/>
    <col min="14605" max="14605" width="10.28515625" style="248" customWidth="1"/>
    <col min="14606" max="14606" width="9.28515625" style="248" bestFit="1" customWidth="1"/>
    <col min="14607" max="14848" width="9.140625" style="248"/>
    <col min="14849" max="14849" width="46.5703125" style="248" bestFit="1" customWidth="1"/>
    <col min="14850" max="14850" width="10.42578125" style="248" customWidth="1"/>
    <col min="14851" max="14851" width="13.7109375" style="248" bestFit="1" customWidth="1"/>
    <col min="14852" max="14852" width="11.85546875" style="248" customWidth="1"/>
    <col min="14853" max="14853" width="11.5703125" style="248" customWidth="1"/>
    <col min="14854" max="14854" width="14" style="248" customWidth="1"/>
    <col min="14855" max="14855" width="14.140625" style="248" customWidth="1"/>
    <col min="14856" max="14856" width="13.140625" style="248" customWidth="1"/>
    <col min="14857" max="14857" width="13" style="248" customWidth="1"/>
    <col min="14858" max="14858" width="14.140625" style="248" bestFit="1" customWidth="1"/>
    <col min="14859" max="14859" width="9.7109375" style="248" customWidth="1"/>
    <col min="14860" max="14860" width="11.140625" style="248" customWidth="1"/>
    <col min="14861" max="14861" width="10.28515625" style="248" customWidth="1"/>
    <col min="14862" max="14862" width="9.28515625" style="248" bestFit="1" customWidth="1"/>
    <col min="14863" max="15104" width="9.140625" style="248"/>
    <col min="15105" max="15105" width="46.5703125" style="248" bestFit="1" customWidth="1"/>
    <col min="15106" max="15106" width="10.42578125" style="248" customWidth="1"/>
    <col min="15107" max="15107" width="13.7109375" style="248" bestFit="1" customWidth="1"/>
    <col min="15108" max="15108" width="11.85546875" style="248" customWidth="1"/>
    <col min="15109" max="15109" width="11.5703125" style="248" customWidth="1"/>
    <col min="15110" max="15110" width="14" style="248" customWidth="1"/>
    <col min="15111" max="15111" width="14.140625" style="248" customWidth="1"/>
    <col min="15112" max="15112" width="13.140625" style="248" customWidth="1"/>
    <col min="15113" max="15113" width="13" style="248" customWidth="1"/>
    <col min="15114" max="15114" width="14.140625" style="248" bestFit="1" customWidth="1"/>
    <col min="15115" max="15115" width="9.7109375" style="248" customWidth="1"/>
    <col min="15116" max="15116" width="11.140625" style="248" customWidth="1"/>
    <col min="15117" max="15117" width="10.28515625" style="248" customWidth="1"/>
    <col min="15118" max="15118" width="9.28515625" style="248" bestFit="1" customWidth="1"/>
    <col min="15119" max="15360" width="9.140625" style="248"/>
    <col min="15361" max="15361" width="46.5703125" style="248" bestFit="1" customWidth="1"/>
    <col min="15362" max="15362" width="10.42578125" style="248" customWidth="1"/>
    <col min="15363" max="15363" width="13.7109375" style="248" bestFit="1" customWidth="1"/>
    <col min="15364" max="15364" width="11.85546875" style="248" customWidth="1"/>
    <col min="15365" max="15365" width="11.5703125" style="248" customWidth="1"/>
    <col min="15366" max="15366" width="14" style="248" customWidth="1"/>
    <col min="15367" max="15367" width="14.140625" style="248" customWidth="1"/>
    <col min="15368" max="15368" width="13.140625" style="248" customWidth="1"/>
    <col min="15369" max="15369" width="13" style="248" customWidth="1"/>
    <col min="15370" max="15370" width="14.140625" style="248" bestFit="1" customWidth="1"/>
    <col min="15371" max="15371" width="9.7109375" style="248" customWidth="1"/>
    <col min="15372" max="15372" width="11.140625" style="248" customWidth="1"/>
    <col min="15373" max="15373" width="10.28515625" style="248" customWidth="1"/>
    <col min="15374" max="15374" width="9.28515625" style="248" bestFit="1" customWidth="1"/>
    <col min="15375" max="15616" width="9.140625" style="248"/>
    <col min="15617" max="15617" width="46.5703125" style="248" bestFit="1" customWidth="1"/>
    <col min="15618" max="15618" width="10.42578125" style="248" customWidth="1"/>
    <col min="15619" max="15619" width="13.7109375" style="248" bestFit="1" customWidth="1"/>
    <col min="15620" max="15620" width="11.85546875" style="248" customWidth="1"/>
    <col min="15621" max="15621" width="11.5703125" style="248" customWidth="1"/>
    <col min="15622" max="15622" width="14" style="248" customWidth="1"/>
    <col min="15623" max="15623" width="14.140625" style="248" customWidth="1"/>
    <col min="15624" max="15624" width="13.140625" style="248" customWidth="1"/>
    <col min="15625" max="15625" width="13" style="248" customWidth="1"/>
    <col min="15626" max="15626" width="14.140625" style="248" bestFit="1" customWidth="1"/>
    <col min="15627" max="15627" width="9.7109375" style="248" customWidth="1"/>
    <col min="15628" max="15628" width="11.140625" style="248" customWidth="1"/>
    <col min="15629" max="15629" width="10.28515625" style="248" customWidth="1"/>
    <col min="15630" max="15630" width="9.28515625" style="248" bestFit="1" customWidth="1"/>
    <col min="15631" max="15872" width="9.140625" style="248"/>
    <col min="15873" max="15873" width="46.5703125" style="248" bestFit="1" customWidth="1"/>
    <col min="15874" max="15874" width="10.42578125" style="248" customWidth="1"/>
    <col min="15875" max="15875" width="13.7109375" style="248" bestFit="1" customWidth="1"/>
    <col min="15876" max="15876" width="11.85546875" style="248" customWidth="1"/>
    <col min="15877" max="15877" width="11.5703125" style="248" customWidth="1"/>
    <col min="15878" max="15878" width="14" style="248" customWidth="1"/>
    <col min="15879" max="15879" width="14.140625" style="248" customWidth="1"/>
    <col min="15880" max="15880" width="13.140625" style="248" customWidth="1"/>
    <col min="15881" max="15881" width="13" style="248" customWidth="1"/>
    <col min="15882" max="15882" width="14.140625" style="248" bestFit="1" customWidth="1"/>
    <col min="15883" max="15883" width="9.7109375" style="248" customWidth="1"/>
    <col min="15884" max="15884" width="11.140625" style="248" customWidth="1"/>
    <col min="15885" max="15885" width="10.28515625" style="248" customWidth="1"/>
    <col min="15886" max="15886" width="9.28515625" style="248" bestFit="1" customWidth="1"/>
    <col min="15887" max="16128" width="9.140625" style="248"/>
    <col min="16129" max="16129" width="46.5703125" style="248" bestFit="1" customWidth="1"/>
    <col min="16130" max="16130" width="10.42578125" style="248" customWidth="1"/>
    <col min="16131" max="16131" width="13.7109375" style="248" bestFit="1" customWidth="1"/>
    <col min="16132" max="16132" width="11.85546875" style="248" customWidth="1"/>
    <col min="16133" max="16133" width="11.5703125" style="248" customWidth="1"/>
    <col min="16134" max="16134" width="14" style="248" customWidth="1"/>
    <col min="16135" max="16135" width="14.140625" style="248" customWidth="1"/>
    <col min="16136" max="16136" width="13.140625" style="248" customWidth="1"/>
    <col min="16137" max="16137" width="13" style="248" customWidth="1"/>
    <col min="16138" max="16138" width="14.140625" style="248" bestFit="1" customWidth="1"/>
    <col min="16139" max="16139" width="9.7109375" style="248" customWidth="1"/>
    <col min="16140" max="16140" width="11.140625" style="248" customWidth="1"/>
    <col min="16141" max="16141" width="10.28515625" style="248" customWidth="1"/>
    <col min="16142" max="16142" width="9.28515625" style="248" bestFit="1" customWidth="1"/>
    <col min="16143" max="16384" width="9.140625" style="248"/>
  </cols>
  <sheetData>
    <row r="1" spans="1:14" ht="18">
      <c r="A1" s="893" t="s">
        <v>31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</row>
    <row r="2" spans="1:14" ht="15.75">
      <c r="A2" s="894" t="s">
        <v>372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</row>
    <row r="3" spans="1:14" ht="15.75">
      <c r="A3" s="489" t="s">
        <v>585</v>
      </c>
      <c r="B3" s="489"/>
      <c r="C3" s="489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.7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1" customHeight="1">
      <c r="A5" s="252" t="s">
        <v>272</v>
      </c>
      <c r="B5" s="914" t="s">
        <v>373</v>
      </c>
      <c r="C5" s="914"/>
      <c r="D5" s="914"/>
      <c r="E5" s="914"/>
      <c r="F5" s="252" t="s">
        <v>344</v>
      </c>
      <c r="G5" s="252"/>
      <c r="H5" s="911">
        <v>10</v>
      </c>
      <c r="I5" s="913"/>
      <c r="J5" s="252" t="s">
        <v>32</v>
      </c>
      <c r="K5" s="364">
        <v>5000</v>
      </c>
      <c r="L5" s="252" t="s">
        <v>86</v>
      </c>
      <c r="M5" s="252"/>
      <c r="N5" s="364">
        <v>800</v>
      </c>
    </row>
    <row r="6" spans="1:14" ht="21" customHeight="1">
      <c r="A6" s="252"/>
      <c r="B6" s="367"/>
      <c r="C6" s="367"/>
      <c r="D6" s="367"/>
      <c r="E6" s="367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21" customHeight="1">
      <c r="A7" s="252" t="s">
        <v>347</v>
      </c>
      <c r="B7" s="911" t="s">
        <v>374</v>
      </c>
      <c r="C7" s="912"/>
      <c r="D7" s="912"/>
      <c r="E7" s="913"/>
      <c r="F7" s="892" t="s">
        <v>280</v>
      </c>
      <c r="G7" s="892"/>
      <c r="H7" s="911" t="s">
        <v>374</v>
      </c>
      <c r="I7" s="912"/>
      <c r="J7" s="912"/>
      <c r="K7" s="913"/>
      <c r="L7" s="252"/>
      <c r="M7" s="252"/>
      <c r="N7" s="252"/>
    </row>
    <row r="8" spans="1:14" ht="21" customHeight="1">
      <c r="A8" s="252"/>
      <c r="B8" s="254"/>
      <c r="C8" s="254"/>
      <c r="D8" s="254"/>
      <c r="E8" s="254"/>
      <c r="F8" s="367"/>
      <c r="G8" s="367"/>
      <c r="H8" s="254"/>
      <c r="I8" s="254"/>
      <c r="J8" s="254"/>
      <c r="K8" s="252"/>
      <c r="L8" s="252"/>
      <c r="M8" s="252"/>
      <c r="N8" s="252"/>
    </row>
    <row r="9" spans="1:14" ht="24" customHeight="1">
      <c r="A9" s="256" t="s">
        <v>350</v>
      </c>
      <c r="B9" s="897" t="s">
        <v>375</v>
      </c>
      <c r="C9" s="897"/>
      <c r="D9" s="897"/>
      <c r="E9" s="897"/>
      <c r="F9" s="898"/>
      <c r="G9" s="899"/>
      <c r="H9" s="897" t="s">
        <v>376</v>
      </c>
      <c r="I9" s="897"/>
      <c r="J9" s="897"/>
      <c r="K9" s="897"/>
      <c r="L9" s="252"/>
      <c r="M9" s="252"/>
      <c r="N9" s="252"/>
    </row>
    <row r="10" spans="1:14" ht="21" customHeight="1">
      <c r="A10" s="252"/>
      <c r="B10" s="897"/>
      <c r="C10" s="897"/>
      <c r="D10" s="897"/>
      <c r="E10" s="897"/>
      <c r="F10" s="898"/>
      <c r="G10" s="899"/>
      <c r="H10" s="897"/>
      <c r="I10" s="897"/>
      <c r="J10" s="897"/>
      <c r="K10" s="897"/>
      <c r="L10" s="252"/>
      <c r="M10" s="252"/>
      <c r="N10" s="252"/>
    </row>
    <row r="11" spans="1:14" ht="21" customHeight="1">
      <c r="A11" s="252"/>
      <c r="B11" s="897"/>
      <c r="C11" s="897"/>
      <c r="D11" s="897"/>
      <c r="E11" s="897"/>
      <c r="F11" s="898"/>
      <c r="G11" s="899"/>
      <c r="H11" s="897"/>
      <c r="I11" s="897"/>
      <c r="J11" s="897"/>
      <c r="K11" s="897"/>
      <c r="L11" s="252"/>
      <c r="M11" s="252"/>
      <c r="N11" s="252"/>
    </row>
    <row r="12" spans="1:14" ht="21" customHeight="1">
      <c r="A12" s="252"/>
      <c r="B12" s="254"/>
      <c r="C12" s="254"/>
      <c r="D12" s="254"/>
      <c r="E12" s="254"/>
      <c r="F12" s="252"/>
      <c r="G12" s="252"/>
      <c r="H12" s="254"/>
      <c r="I12" s="254"/>
      <c r="J12" s="254"/>
      <c r="K12" s="254"/>
      <c r="L12" s="252"/>
      <c r="M12" s="252"/>
      <c r="N12" s="252"/>
    </row>
    <row r="13" spans="1:14" ht="21" customHeight="1">
      <c r="A13" s="252" t="s">
        <v>353</v>
      </c>
      <c r="B13" s="364">
        <v>12</v>
      </c>
      <c r="C13" s="252" t="s">
        <v>354</v>
      </c>
      <c r="D13" s="252"/>
      <c r="E13" s="252"/>
      <c r="F13" s="364">
        <v>4</v>
      </c>
      <c r="G13" s="252" t="s">
        <v>36</v>
      </c>
      <c r="H13" s="365">
        <v>109</v>
      </c>
      <c r="I13" s="252" t="s">
        <v>37</v>
      </c>
      <c r="J13" s="365">
        <v>12</v>
      </c>
      <c r="K13" s="252" t="s">
        <v>38</v>
      </c>
      <c r="L13" s="364">
        <v>140</v>
      </c>
      <c r="M13" s="252"/>
      <c r="N13" s="252"/>
    </row>
    <row r="14" spans="1:14" ht="21" customHeight="1">
      <c r="A14" s="252"/>
      <c r="B14" s="252"/>
      <c r="C14" s="252"/>
      <c r="D14" s="252"/>
      <c r="E14" s="252"/>
      <c r="F14" s="252"/>
      <c r="G14" s="252"/>
      <c r="H14" s="257"/>
      <c r="I14" s="257"/>
      <c r="J14" s="257"/>
      <c r="K14" s="254"/>
      <c r="L14" s="254"/>
      <c r="M14" s="254"/>
      <c r="N14" s="252"/>
    </row>
    <row r="15" spans="1:14" ht="21" customHeight="1">
      <c r="A15" s="252"/>
      <c r="C15" s="252"/>
      <c r="D15" s="252"/>
      <c r="E15" s="252"/>
      <c r="G15" s="252"/>
      <c r="I15" s="252"/>
      <c r="J15" s="252"/>
      <c r="K15" s="252"/>
      <c r="L15" s="252"/>
      <c r="M15" s="252"/>
      <c r="N15" s="252"/>
    </row>
    <row r="16" spans="1:14" ht="21" customHeight="1">
      <c r="A16" s="252" t="s">
        <v>39</v>
      </c>
      <c r="B16" s="252" t="s">
        <v>40</v>
      </c>
      <c r="C16" s="364">
        <v>873</v>
      </c>
      <c r="D16" s="252" t="s">
        <v>41</v>
      </c>
      <c r="E16" s="364">
        <v>184</v>
      </c>
      <c r="F16" s="252" t="s">
        <v>42</v>
      </c>
      <c r="G16" s="253">
        <v>125</v>
      </c>
      <c r="H16" s="252" t="s">
        <v>64</v>
      </c>
      <c r="I16" s="253">
        <f>G16+E16+C16</f>
        <v>1182</v>
      </c>
      <c r="J16" s="252" t="s">
        <v>43</v>
      </c>
      <c r="K16" s="364">
        <v>279</v>
      </c>
      <c r="L16" s="252" t="s">
        <v>232</v>
      </c>
      <c r="M16" s="252"/>
      <c r="N16" s="364">
        <v>82</v>
      </c>
    </row>
    <row r="17" spans="1:14" ht="21" customHeight="1">
      <c r="A17" s="252" t="s">
        <v>45</v>
      </c>
      <c r="B17" s="252" t="s">
        <v>46</v>
      </c>
      <c r="C17" s="364">
        <v>1670</v>
      </c>
      <c r="D17" s="252" t="s">
        <v>47</v>
      </c>
      <c r="E17" s="364">
        <v>436</v>
      </c>
      <c r="F17" s="252" t="s">
        <v>48</v>
      </c>
      <c r="G17" s="364">
        <v>326</v>
      </c>
      <c r="H17" s="252" t="s">
        <v>77</v>
      </c>
      <c r="I17" s="253">
        <f>G17+E17+C17</f>
        <v>2432</v>
      </c>
      <c r="J17" s="252"/>
      <c r="K17" s="252"/>
      <c r="L17" s="252"/>
      <c r="M17" s="252"/>
      <c r="N17" s="252"/>
    </row>
    <row r="18" spans="1:14" ht="21" customHeight="1">
      <c r="A18" s="252"/>
      <c r="B18" s="252" t="s">
        <v>49</v>
      </c>
      <c r="C18" s="364">
        <v>1760</v>
      </c>
      <c r="D18" s="252" t="s">
        <v>50</v>
      </c>
      <c r="E18" s="364">
        <v>479</v>
      </c>
      <c r="F18" s="252" t="s">
        <v>51</v>
      </c>
      <c r="G18" s="364">
        <v>188</v>
      </c>
      <c r="H18" s="252" t="s">
        <v>76</v>
      </c>
      <c r="I18" s="253">
        <f>G18+E18+C18</f>
        <v>2427</v>
      </c>
      <c r="J18" s="252"/>
      <c r="K18" s="252"/>
      <c r="L18" s="252"/>
      <c r="M18" s="252"/>
      <c r="N18" s="252"/>
    </row>
    <row r="19" spans="1:14" ht="15" customHeight="1">
      <c r="A19" s="252"/>
      <c r="B19" s="252"/>
      <c r="C19" s="252"/>
      <c r="D19" s="252"/>
      <c r="E19" s="252"/>
      <c r="F19" s="252"/>
      <c r="G19" s="252"/>
      <c r="H19" s="252"/>
      <c r="I19" s="258"/>
      <c r="J19" s="252"/>
      <c r="K19" s="252"/>
      <c r="L19" s="252"/>
      <c r="M19" s="252"/>
      <c r="N19" s="252"/>
    </row>
    <row r="20" spans="1:14">
      <c r="A20" s="252" t="s">
        <v>52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4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 ht="20.25" customHeight="1">
      <c r="A22" s="896" t="s">
        <v>53</v>
      </c>
      <c r="B22" s="900" t="s">
        <v>54</v>
      </c>
      <c r="C22" s="900" t="s">
        <v>55</v>
      </c>
      <c r="D22" s="900" t="s">
        <v>669</v>
      </c>
      <c r="E22" s="900" t="s">
        <v>103</v>
      </c>
      <c r="F22" s="895" t="s">
        <v>670</v>
      </c>
      <c r="G22" s="895"/>
      <c r="H22" s="895"/>
      <c r="I22" s="895"/>
      <c r="J22" s="895"/>
      <c r="K22" s="895"/>
      <c r="L22" s="895"/>
      <c r="M22" s="895"/>
      <c r="N22" s="895"/>
    </row>
    <row r="23" spans="1:14" ht="20.25" customHeight="1">
      <c r="A23" s="896"/>
      <c r="B23" s="900"/>
      <c r="C23" s="900"/>
      <c r="D23" s="900"/>
      <c r="E23" s="900"/>
      <c r="F23" s="364" t="s">
        <v>105</v>
      </c>
      <c r="G23" s="364" t="s">
        <v>106</v>
      </c>
      <c r="H23" s="364" t="s">
        <v>107</v>
      </c>
      <c r="I23" s="364" t="s">
        <v>108</v>
      </c>
      <c r="J23" s="364" t="s">
        <v>109</v>
      </c>
      <c r="K23" s="364" t="s">
        <v>110</v>
      </c>
      <c r="L23" s="364" t="s">
        <v>111</v>
      </c>
      <c r="M23" s="364" t="s">
        <v>64</v>
      </c>
      <c r="N23" s="364" t="s">
        <v>65</v>
      </c>
    </row>
    <row r="24" spans="1:14" ht="20.25" customHeight="1">
      <c r="A24" s="249" t="s">
        <v>370</v>
      </c>
      <c r="B24" s="249">
        <v>500</v>
      </c>
      <c r="C24" s="249" t="s">
        <v>300</v>
      </c>
      <c r="D24" s="259">
        <v>2500000</v>
      </c>
      <c r="E24" s="259">
        <v>1682137</v>
      </c>
      <c r="F24" s="259">
        <f>613817+500000</f>
        <v>1113817</v>
      </c>
      <c r="G24" s="259">
        <v>568320</v>
      </c>
      <c r="H24" s="114"/>
      <c r="I24" s="249"/>
      <c r="J24" s="249"/>
      <c r="K24" s="249"/>
      <c r="L24" s="249"/>
      <c r="M24" s="259">
        <v>1682137</v>
      </c>
      <c r="N24" s="250">
        <f>+M24/E24*100</f>
        <v>100</v>
      </c>
    </row>
    <row r="25" spans="1:14" ht="20.25" customHeight="1">
      <c r="A25" s="249" t="s">
        <v>338</v>
      </c>
      <c r="B25" s="249">
        <v>360</v>
      </c>
      <c r="C25" s="249" t="s">
        <v>300</v>
      </c>
      <c r="D25" s="259">
        <v>1800000</v>
      </c>
      <c r="E25" s="259">
        <v>410250</v>
      </c>
      <c r="F25" s="259">
        <v>25300</v>
      </c>
      <c r="G25" s="259">
        <v>355012</v>
      </c>
      <c r="H25" s="114"/>
      <c r="I25" s="249"/>
      <c r="J25" s="249"/>
      <c r="K25" s="249"/>
      <c r="L25" s="249"/>
      <c r="M25" s="259">
        <v>380312</v>
      </c>
      <c r="N25" s="250">
        <f t="shared" ref="N25:N32" si="0">+M25/E25*100</f>
        <v>92.702498476538693</v>
      </c>
    </row>
    <row r="26" spans="1:14" ht="20.25" customHeight="1">
      <c r="A26" s="249" t="s">
        <v>321</v>
      </c>
      <c r="B26" s="249">
        <v>8.4</v>
      </c>
      <c r="C26" s="249" t="s">
        <v>363</v>
      </c>
      <c r="D26" s="253">
        <v>5544000</v>
      </c>
      <c r="E26" s="259">
        <v>690000</v>
      </c>
      <c r="F26" s="259">
        <v>390000</v>
      </c>
      <c r="G26" s="259">
        <v>323936</v>
      </c>
      <c r="H26" s="114"/>
      <c r="I26" s="249"/>
      <c r="J26" s="249"/>
      <c r="K26" s="249"/>
      <c r="L26" s="249"/>
      <c r="M26" s="259">
        <v>713936</v>
      </c>
      <c r="N26" s="250">
        <f t="shared" si="0"/>
        <v>103.46898550724637</v>
      </c>
    </row>
    <row r="27" spans="1:14" ht="20.25" customHeight="1">
      <c r="A27" s="249" t="s">
        <v>246</v>
      </c>
      <c r="B27" s="249">
        <v>0.84</v>
      </c>
      <c r="C27" s="249" t="s">
        <v>363</v>
      </c>
      <c r="D27" s="253">
        <v>588000</v>
      </c>
      <c r="E27" s="259">
        <v>336000</v>
      </c>
      <c r="F27" s="259">
        <v>156000</v>
      </c>
      <c r="G27" s="259">
        <v>50000</v>
      </c>
      <c r="H27" s="114"/>
      <c r="I27" s="249"/>
      <c r="J27" s="249"/>
      <c r="K27" s="249"/>
      <c r="L27" s="249"/>
      <c r="M27" s="259">
        <v>206000</v>
      </c>
      <c r="N27" s="250">
        <f t="shared" si="0"/>
        <v>61.30952380952381</v>
      </c>
    </row>
    <row r="28" spans="1:14" ht="20.25" customHeight="1">
      <c r="A28" s="249" t="s">
        <v>322</v>
      </c>
      <c r="B28" s="249">
        <v>3.6</v>
      </c>
      <c r="C28" s="249" t="s">
        <v>363</v>
      </c>
      <c r="D28" s="253">
        <v>2280000</v>
      </c>
      <c r="E28" s="259">
        <v>500000</v>
      </c>
      <c r="F28" s="259">
        <v>259864</v>
      </c>
      <c r="G28" s="259">
        <v>183871</v>
      </c>
      <c r="H28" s="114"/>
      <c r="I28" s="249"/>
      <c r="J28" s="249"/>
      <c r="K28" s="249"/>
      <c r="L28" s="249"/>
      <c r="M28" s="259">
        <v>443735</v>
      </c>
      <c r="N28" s="250">
        <f t="shared" si="0"/>
        <v>88.747</v>
      </c>
    </row>
    <row r="29" spans="1:14" ht="20.25" customHeight="1">
      <c r="A29" s="249" t="s">
        <v>305</v>
      </c>
      <c r="B29" s="249">
        <v>0.24</v>
      </c>
      <c r="C29" s="249" t="s">
        <v>363</v>
      </c>
      <c r="D29" s="253">
        <v>168000</v>
      </c>
      <c r="E29" s="259">
        <v>50000</v>
      </c>
      <c r="F29" s="259">
        <v>28000</v>
      </c>
      <c r="G29" s="259">
        <v>22136</v>
      </c>
      <c r="H29" s="114"/>
      <c r="I29" s="249"/>
      <c r="J29" s="249"/>
      <c r="K29" s="249"/>
      <c r="L29" s="249"/>
      <c r="M29" s="259">
        <v>50136</v>
      </c>
      <c r="N29" s="250">
        <f t="shared" si="0"/>
        <v>100.27200000000001</v>
      </c>
    </row>
    <row r="30" spans="1:14" ht="20.25" customHeight="1">
      <c r="A30" s="249" t="s">
        <v>306</v>
      </c>
      <c r="B30" s="249">
        <v>0.36</v>
      </c>
      <c r="C30" s="249" t="s">
        <v>363</v>
      </c>
      <c r="D30" s="253">
        <v>252000</v>
      </c>
      <c r="E30" s="259">
        <v>75000</v>
      </c>
      <c r="F30" s="259">
        <v>42000</v>
      </c>
      <c r="G30" s="259">
        <v>36000</v>
      </c>
      <c r="H30" s="114"/>
      <c r="I30" s="249"/>
      <c r="J30" s="249"/>
      <c r="K30" s="249"/>
      <c r="L30" s="249"/>
      <c r="M30" s="259">
        <v>78000</v>
      </c>
      <c r="N30" s="250">
        <f t="shared" si="0"/>
        <v>104</v>
      </c>
    </row>
    <row r="31" spans="1:14" ht="20.25" customHeight="1">
      <c r="A31" s="249" t="s">
        <v>371</v>
      </c>
      <c r="B31" s="249">
        <v>0.2</v>
      </c>
      <c r="C31" s="249" t="s">
        <v>68</v>
      </c>
      <c r="D31" s="253">
        <v>20000</v>
      </c>
      <c r="E31" s="259">
        <v>20000</v>
      </c>
      <c r="F31" s="259">
        <v>20000</v>
      </c>
      <c r="G31" s="259">
        <v>0</v>
      </c>
      <c r="H31" s="114"/>
      <c r="I31" s="249"/>
      <c r="J31" s="249"/>
      <c r="K31" s="249"/>
      <c r="L31" s="249"/>
      <c r="M31" s="259">
        <v>20000</v>
      </c>
      <c r="N31" s="250">
        <f t="shared" si="0"/>
        <v>100</v>
      </c>
    </row>
    <row r="32" spans="1:14" ht="20.25" customHeight="1">
      <c r="A32" s="364" t="s">
        <v>69</v>
      </c>
      <c r="B32" s="249"/>
      <c r="C32" s="249"/>
      <c r="D32" s="260">
        <f t="shared" ref="D32:L32" si="1">SUM(D24:D31)</f>
        <v>13152000</v>
      </c>
      <c r="E32" s="260">
        <v>3763387</v>
      </c>
      <c r="F32" s="260">
        <f t="shared" si="1"/>
        <v>2034981</v>
      </c>
      <c r="G32" s="260">
        <f t="shared" si="1"/>
        <v>1539275</v>
      </c>
      <c r="H32" s="251">
        <f t="shared" si="1"/>
        <v>0</v>
      </c>
      <c r="I32" s="251">
        <f t="shared" si="1"/>
        <v>0</v>
      </c>
      <c r="J32" s="251">
        <f t="shared" si="1"/>
        <v>0</v>
      </c>
      <c r="K32" s="251">
        <f t="shared" si="1"/>
        <v>0</v>
      </c>
      <c r="L32" s="251">
        <f t="shared" si="1"/>
        <v>0</v>
      </c>
      <c r="M32" s="364">
        <f>SUM(F32:L32)</f>
        <v>3574256</v>
      </c>
      <c r="N32" s="251">
        <f t="shared" si="0"/>
        <v>94.974447220017495</v>
      </c>
    </row>
    <row r="34" spans="1:9" ht="20.25" customHeight="1">
      <c r="A34" s="115" t="s">
        <v>665</v>
      </c>
      <c r="E34" s="248" t="s">
        <v>666</v>
      </c>
    </row>
    <row r="35" spans="1:9" ht="20.25" customHeight="1">
      <c r="A35" s="57"/>
      <c r="I35" s="57"/>
    </row>
    <row r="36" spans="1:9" ht="20.25" customHeight="1">
      <c r="A36" s="248" t="s">
        <v>667</v>
      </c>
      <c r="E36" s="248" t="s">
        <v>668</v>
      </c>
    </row>
  </sheetData>
  <mergeCells count="17">
    <mergeCell ref="B9:E11"/>
    <mergeCell ref="F9:G11"/>
    <mergeCell ref="H9:K11"/>
    <mergeCell ref="A22:A23"/>
    <mergeCell ref="B22:B23"/>
    <mergeCell ref="C22:C23"/>
    <mergeCell ref="D22:D23"/>
    <mergeCell ref="E22:E23"/>
    <mergeCell ref="F22:N22"/>
    <mergeCell ref="B7:E7"/>
    <mergeCell ref="F7:G7"/>
    <mergeCell ref="H7:K7"/>
    <mergeCell ref="A1:N1"/>
    <mergeCell ref="A2:N2"/>
    <mergeCell ref="A3:C3"/>
    <mergeCell ref="B5:E5"/>
    <mergeCell ref="H5:I5"/>
  </mergeCells>
  <hyperlinks>
    <hyperlink ref="A3" location="'Fact Sheet of VDC'!A1" display="&lt;&lt;Back"/>
  </hyperlinks>
  <printOptions horizontalCentered="1" verticalCentered="1"/>
  <pageMargins left="0.23622047244094491" right="0.15748031496062992" top="0.74803149606299213" bottom="0.74803149606299213" header="0.31496062992125984" footer="0.31496062992125984"/>
  <pageSetup paperSize="9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workbookViewId="0">
      <selection activeCell="A3" sqref="A3:C3"/>
    </sheetView>
  </sheetViews>
  <sheetFormatPr defaultRowHeight="15"/>
  <cols>
    <col min="1" max="1" width="33.28515625" style="248" customWidth="1"/>
    <col min="2" max="2" width="9.140625" style="248"/>
    <col min="3" max="3" width="16.28515625" style="248" customWidth="1"/>
    <col min="4" max="4" width="10.42578125" style="248" customWidth="1"/>
    <col min="5" max="5" width="9.140625" style="248"/>
    <col min="6" max="6" width="14" style="248" customWidth="1"/>
    <col min="7" max="7" width="11" style="248" customWidth="1"/>
    <col min="8" max="256" width="9.140625" style="248"/>
    <col min="257" max="257" width="33.28515625" style="248" customWidth="1"/>
    <col min="258" max="258" width="9.140625" style="248"/>
    <col min="259" max="259" width="16.28515625" style="248" customWidth="1"/>
    <col min="260" max="260" width="10.42578125" style="248" customWidth="1"/>
    <col min="261" max="261" width="9.140625" style="248"/>
    <col min="262" max="262" width="14" style="248" customWidth="1"/>
    <col min="263" max="263" width="11" style="248" customWidth="1"/>
    <col min="264" max="512" width="9.140625" style="248"/>
    <col min="513" max="513" width="33.28515625" style="248" customWidth="1"/>
    <col min="514" max="514" width="9.140625" style="248"/>
    <col min="515" max="515" width="16.28515625" style="248" customWidth="1"/>
    <col min="516" max="516" width="10.42578125" style="248" customWidth="1"/>
    <col min="517" max="517" width="9.140625" style="248"/>
    <col min="518" max="518" width="14" style="248" customWidth="1"/>
    <col min="519" max="519" width="11" style="248" customWidth="1"/>
    <col min="520" max="768" width="9.140625" style="248"/>
    <col min="769" max="769" width="33.28515625" style="248" customWidth="1"/>
    <col min="770" max="770" width="9.140625" style="248"/>
    <col min="771" max="771" width="16.28515625" style="248" customWidth="1"/>
    <col min="772" max="772" width="10.42578125" style="248" customWidth="1"/>
    <col min="773" max="773" width="9.140625" style="248"/>
    <col min="774" max="774" width="14" style="248" customWidth="1"/>
    <col min="775" max="775" width="11" style="248" customWidth="1"/>
    <col min="776" max="1024" width="9.140625" style="248"/>
    <col min="1025" max="1025" width="33.28515625" style="248" customWidth="1"/>
    <col min="1026" max="1026" width="9.140625" style="248"/>
    <col min="1027" max="1027" width="16.28515625" style="248" customWidth="1"/>
    <col min="1028" max="1028" width="10.42578125" style="248" customWidth="1"/>
    <col min="1029" max="1029" width="9.140625" style="248"/>
    <col min="1030" max="1030" width="14" style="248" customWidth="1"/>
    <col min="1031" max="1031" width="11" style="248" customWidth="1"/>
    <col min="1032" max="1280" width="9.140625" style="248"/>
    <col min="1281" max="1281" width="33.28515625" style="248" customWidth="1"/>
    <col min="1282" max="1282" width="9.140625" style="248"/>
    <col min="1283" max="1283" width="16.28515625" style="248" customWidth="1"/>
    <col min="1284" max="1284" width="10.42578125" style="248" customWidth="1"/>
    <col min="1285" max="1285" width="9.140625" style="248"/>
    <col min="1286" max="1286" width="14" style="248" customWidth="1"/>
    <col min="1287" max="1287" width="11" style="248" customWidth="1"/>
    <col min="1288" max="1536" width="9.140625" style="248"/>
    <col min="1537" max="1537" width="33.28515625" style="248" customWidth="1"/>
    <col min="1538" max="1538" width="9.140625" style="248"/>
    <col min="1539" max="1539" width="16.28515625" style="248" customWidth="1"/>
    <col min="1540" max="1540" width="10.42578125" style="248" customWidth="1"/>
    <col min="1541" max="1541" width="9.140625" style="248"/>
    <col min="1542" max="1542" width="14" style="248" customWidth="1"/>
    <col min="1543" max="1543" width="11" style="248" customWidth="1"/>
    <col min="1544" max="1792" width="9.140625" style="248"/>
    <col min="1793" max="1793" width="33.28515625" style="248" customWidth="1"/>
    <col min="1794" max="1794" width="9.140625" style="248"/>
    <col min="1795" max="1795" width="16.28515625" style="248" customWidth="1"/>
    <col min="1796" max="1796" width="10.42578125" style="248" customWidth="1"/>
    <col min="1797" max="1797" width="9.140625" style="248"/>
    <col min="1798" max="1798" width="14" style="248" customWidth="1"/>
    <col min="1799" max="1799" width="11" style="248" customWidth="1"/>
    <col min="1800" max="2048" width="9.140625" style="248"/>
    <col min="2049" max="2049" width="33.28515625" style="248" customWidth="1"/>
    <col min="2050" max="2050" width="9.140625" style="248"/>
    <col min="2051" max="2051" width="16.28515625" style="248" customWidth="1"/>
    <col min="2052" max="2052" width="10.42578125" style="248" customWidth="1"/>
    <col min="2053" max="2053" width="9.140625" style="248"/>
    <col min="2054" max="2054" width="14" style="248" customWidth="1"/>
    <col min="2055" max="2055" width="11" style="248" customWidth="1"/>
    <col min="2056" max="2304" width="9.140625" style="248"/>
    <col min="2305" max="2305" width="33.28515625" style="248" customWidth="1"/>
    <col min="2306" max="2306" width="9.140625" style="248"/>
    <col min="2307" max="2307" width="16.28515625" style="248" customWidth="1"/>
    <col min="2308" max="2308" width="10.42578125" style="248" customWidth="1"/>
    <col min="2309" max="2309" width="9.140625" style="248"/>
    <col min="2310" max="2310" width="14" style="248" customWidth="1"/>
    <col min="2311" max="2311" width="11" style="248" customWidth="1"/>
    <col min="2312" max="2560" width="9.140625" style="248"/>
    <col min="2561" max="2561" width="33.28515625" style="248" customWidth="1"/>
    <col min="2562" max="2562" width="9.140625" style="248"/>
    <col min="2563" max="2563" width="16.28515625" style="248" customWidth="1"/>
    <col min="2564" max="2564" width="10.42578125" style="248" customWidth="1"/>
    <col min="2565" max="2565" width="9.140625" style="248"/>
    <col min="2566" max="2566" width="14" style="248" customWidth="1"/>
    <col min="2567" max="2567" width="11" style="248" customWidth="1"/>
    <col min="2568" max="2816" width="9.140625" style="248"/>
    <col min="2817" max="2817" width="33.28515625" style="248" customWidth="1"/>
    <col min="2818" max="2818" width="9.140625" style="248"/>
    <col min="2819" max="2819" width="16.28515625" style="248" customWidth="1"/>
    <col min="2820" max="2820" width="10.42578125" style="248" customWidth="1"/>
    <col min="2821" max="2821" width="9.140625" style="248"/>
    <col min="2822" max="2822" width="14" style="248" customWidth="1"/>
    <col min="2823" max="2823" width="11" style="248" customWidth="1"/>
    <col min="2824" max="3072" width="9.140625" style="248"/>
    <col min="3073" max="3073" width="33.28515625" style="248" customWidth="1"/>
    <col min="3074" max="3074" width="9.140625" style="248"/>
    <col min="3075" max="3075" width="16.28515625" style="248" customWidth="1"/>
    <col min="3076" max="3076" width="10.42578125" style="248" customWidth="1"/>
    <col min="3077" max="3077" width="9.140625" style="248"/>
    <col min="3078" max="3078" width="14" style="248" customWidth="1"/>
    <col min="3079" max="3079" width="11" style="248" customWidth="1"/>
    <col min="3080" max="3328" width="9.140625" style="248"/>
    <col min="3329" max="3329" width="33.28515625" style="248" customWidth="1"/>
    <col min="3330" max="3330" width="9.140625" style="248"/>
    <col min="3331" max="3331" width="16.28515625" style="248" customWidth="1"/>
    <col min="3332" max="3332" width="10.42578125" style="248" customWidth="1"/>
    <col min="3333" max="3333" width="9.140625" style="248"/>
    <col min="3334" max="3334" width="14" style="248" customWidth="1"/>
    <col min="3335" max="3335" width="11" style="248" customWidth="1"/>
    <col min="3336" max="3584" width="9.140625" style="248"/>
    <col min="3585" max="3585" width="33.28515625" style="248" customWidth="1"/>
    <col min="3586" max="3586" width="9.140625" style="248"/>
    <col min="3587" max="3587" width="16.28515625" style="248" customWidth="1"/>
    <col min="3588" max="3588" width="10.42578125" style="248" customWidth="1"/>
    <col min="3589" max="3589" width="9.140625" style="248"/>
    <col min="3590" max="3590" width="14" style="248" customWidth="1"/>
    <col min="3591" max="3591" width="11" style="248" customWidth="1"/>
    <col min="3592" max="3840" width="9.140625" style="248"/>
    <col min="3841" max="3841" width="33.28515625" style="248" customWidth="1"/>
    <col min="3842" max="3842" width="9.140625" style="248"/>
    <col min="3843" max="3843" width="16.28515625" style="248" customWidth="1"/>
    <col min="3844" max="3844" width="10.42578125" style="248" customWidth="1"/>
    <col min="3845" max="3845" width="9.140625" style="248"/>
    <col min="3846" max="3846" width="14" style="248" customWidth="1"/>
    <col min="3847" max="3847" width="11" style="248" customWidth="1"/>
    <col min="3848" max="4096" width="9.140625" style="248"/>
    <col min="4097" max="4097" width="33.28515625" style="248" customWidth="1"/>
    <col min="4098" max="4098" width="9.140625" style="248"/>
    <col min="4099" max="4099" width="16.28515625" style="248" customWidth="1"/>
    <col min="4100" max="4100" width="10.42578125" style="248" customWidth="1"/>
    <col min="4101" max="4101" width="9.140625" style="248"/>
    <col min="4102" max="4102" width="14" style="248" customWidth="1"/>
    <col min="4103" max="4103" width="11" style="248" customWidth="1"/>
    <col min="4104" max="4352" width="9.140625" style="248"/>
    <col min="4353" max="4353" width="33.28515625" style="248" customWidth="1"/>
    <col min="4354" max="4354" width="9.140625" style="248"/>
    <col min="4355" max="4355" width="16.28515625" style="248" customWidth="1"/>
    <col min="4356" max="4356" width="10.42578125" style="248" customWidth="1"/>
    <col min="4357" max="4357" width="9.140625" style="248"/>
    <col min="4358" max="4358" width="14" style="248" customWidth="1"/>
    <col min="4359" max="4359" width="11" style="248" customWidth="1"/>
    <col min="4360" max="4608" width="9.140625" style="248"/>
    <col min="4609" max="4609" width="33.28515625" style="248" customWidth="1"/>
    <col min="4610" max="4610" width="9.140625" style="248"/>
    <col min="4611" max="4611" width="16.28515625" style="248" customWidth="1"/>
    <col min="4612" max="4612" width="10.42578125" style="248" customWidth="1"/>
    <col min="4613" max="4613" width="9.140625" style="248"/>
    <col min="4614" max="4614" width="14" style="248" customWidth="1"/>
    <col min="4615" max="4615" width="11" style="248" customWidth="1"/>
    <col min="4616" max="4864" width="9.140625" style="248"/>
    <col min="4865" max="4865" width="33.28515625" style="248" customWidth="1"/>
    <col min="4866" max="4866" width="9.140625" style="248"/>
    <col min="4867" max="4867" width="16.28515625" style="248" customWidth="1"/>
    <col min="4868" max="4868" width="10.42578125" style="248" customWidth="1"/>
    <col min="4869" max="4869" width="9.140625" style="248"/>
    <col min="4870" max="4870" width="14" style="248" customWidth="1"/>
    <col min="4871" max="4871" width="11" style="248" customWidth="1"/>
    <col min="4872" max="5120" width="9.140625" style="248"/>
    <col min="5121" max="5121" width="33.28515625" style="248" customWidth="1"/>
    <col min="5122" max="5122" width="9.140625" style="248"/>
    <col min="5123" max="5123" width="16.28515625" style="248" customWidth="1"/>
    <col min="5124" max="5124" width="10.42578125" style="248" customWidth="1"/>
    <col min="5125" max="5125" width="9.140625" style="248"/>
    <col min="5126" max="5126" width="14" style="248" customWidth="1"/>
    <col min="5127" max="5127" width="11" style="248" customWidth="1"/>
    <col min="5128" max="5376" width="9.140625" style="248"/>
    <col min="5377" max="5377" width="33.28515625" style="248" customWidth="1"/>
    <col min="5378" max="5378" width="9.140625" style="248"/>
    <col min="5379" max="5379" width="16.28515625" style="248" customWidth="1"/>
    <col min="5380" max="5380" width="10.42578125" style="248" customWidth="1"/>
    <col min="5381" max="5381" width="9.140625" style="248"/>
    <col min="5382" max="5382" width="14" style="248" customWidth="1"/>
    <col min="5383" max="5383" width="11" style="248" customWidth="1"/>
    <col min="5384" max="5632" width="9.140625" style="248"/>
    <col min="5633" max="5633" width="33.28515625" style="248" customWidth="1"/>
    <col min="5634" max="5634" width="9.140625" style="248"/>
    <col min="5635" max="5635" width="16.28515625" style="248" customWidth="1"/>
    <col min="5636" max="5636" width="10.42578125" style="248" customWidth="1"/>
    <col min="5637" max="5637" width="9.140625" style="248"/>
    <col min="5638" max="5638" width="14" style="248" customWidth="1"/>
    <col min="5639" max="5639" width="11" style="248" customWidth="1"/>
    <col min="5640" max="5888" width="9.140625" style="248"/>
    <col min="5889" max="5889" width="33.28515625" style="248" customWidth="1"/>
    <col min="5890" max="5890" width="9.140625" style="248"/>
    <col min="5891" max="5891" width="16.28515625" style="248" customWidth="1"/>
    <col min="5892" max="5892" width="10.42578125" style="248" customWidth="1"/>
    <col min="5893" max="5893" width="9.140625" style="248"/>
    <col min="5894" max="5894" width="14" style="248" customWidth="1"/>
    <col min="5895" max="5895" width="11" style="248" customWidth="1"/>
    <col min="5896" max="6144" width="9.140625" style="248"/>
    <col min="6145" max="6145" width="33.28515625" style="248" customWidth="1"/>
    <col min="6146" max="6146" width="9.140625" style="248"/>
    <col min="6147" max="6147" width="16.28515625" style="248" customWidth="1"/>
    <col min="6148" max="6148" width="10.42578125" style="248" customWidth="1"/>
    <col min="6149" max="6149" width="9.140625" style="248"/>
    <col min="6150" max="6150" width="14" style="248" customWidth="1"/>
    <col min="6151" max="6151" width="11" style="248" customWidth="1"/>
    <col min="6152" max="6400" width="9.140625" style="248"/>
    <col min="6401" max="6401" width="33.28515625" style="248" customWidth="1"/>
    <col min="6402" max="6402" width="9.140625" style="248"/>
    <col min="6403" max="6403" width="16.28515625" style="248" customWidth="1"/>
    <col min="6404" max="6404" width="10.42578125" style="248" customWidth="1"/>
    <col min="6405" max="6405" width="9.140625" style="248"/>
    <col min="6406" max="6406" width="14" style="248" customWidth="1"/>
    <col min="6407" max="6407" width="11" style="248" customWidth="1"/>
    <col min="6408" max="6656" width="9.140625" style="248"/>
    <col min="6657" max="6657" width="33.28515625" style="248" customWidth="1"/>
    <col min="6658" max="6658" width="9.140625" style="248"/>
    <col min="6659" max="6659" width="16.28515625" style="248" customWidth="1"/>
    <col min="6660" max="6660" width="10.42578125" style="248" customWidth="1"/>
    <col min="6661" max="6661" width="9.140625" style="248"/>
    <col min="6662" max="6662" width="14" style="248" customWidth="1"/>
    <col min="6663" max="6663" width="11" style="248" customWidth="1"/>
    <col min="6664" max="6912" width="9.140625" style="248"/>
    <col min="6913" max="6913" width="33.28515625" style="248" customWidth="1"/>
    <col min="6914" max="6914" width="9.140625" style="248"/>
    <col min="6915" max="6915" width="16.28515625" style="248" customWidth="1"/>
    <col min="6916" max="6916" width="10.42578125" style="248" customWidth="1"/>
    <col min="6917" max="6917" width="9.140625" style="248"/>
    <col min="6918" max="6918" width="14" style="248" customWidth="1"/>
    <col min="6919" max="6919" width="11" style="248" customWidth="1"/>
    <col min="6920" max="7168" width="9.140625" style="248"/>
    <col min="7169" max="7169" width="33.28515625" style="248" customWidth="1"/>
    <col min="7170" max="7170" width="9.140625" style="248"/>
    <col min="7171" max="7171" width="16.28515625" style="248" customWidth="1"/>
    <col min="7172" max="7172" width="10.42578125" style="248" customWidth="1"/>
    <col min="7173" max="7173" width="9.140625" style="248"/>
    <col min="7174" max="7174" width="14" style="248" customWidth="1"/>
    <col min="7175" max="7175" width="11" style="248" customWidth="1"/>
    <col min="7176" max="7424" width="9.140625" style="248"/>
    <col min="7425" max="7425" width="33.28515625" style="248" customWidth="1"/>
    <col min="7426" max="7426" width="9.140625" style="248"/>
    <col min="7427" max="7427" width="16.28515625" style="248" customWidth="1"/>
    <col min="7428" max="7428" width="10.42578125" style="248" customWidth="1"/>
    <col min="7429" max="7429" width="9.140625" style="248"/>
    <col min="7430" max="7430" width="14" style="248" customWidth="1"/>
    <col min="7431" max="7431" width="11" style="248" customWidth="1"/>
    <col min="7432" max="7680" width="9.140625" style="248"/>
    <col min="7681" max="7681" width="33.28515625" style="248" customWidth="1"/>
    <col min="7682" max="7682" width="9.140625" style="248"/>
    <col min="7683" max="7683" width="16.28515625" style="248" customWidth="1"/>
    <col min="7684" max="7684" width="10.42578125" style="248" customWidth="1"/>
    <col min="7685" max="7685" width="9.140625" style="248"/>
    <col min="7686" max="7686" width="14" style="248" customWidth="1"/>
    <col min="7687" max="7687" width="11" style="248" customWidth="1"/>
    <col min="7688" max="7936" width="9.140625" style="248"/>
    <col min="7937" max="7937" width="33.28515625" style="248" customWidth="1"/>
    <col min="7938" max="7938" width="9.140625" style="248"/>
    <col min="7939" max="7939" width="16.28515625" style="248" customWidth="1"/>
    <col min="7940" max="7940" width="10.42578125" style="248" customWidth="1"/>
    <col min="7941" max="7941" width="9.140625" style="248"/>
    <col min="7942" max="7942" width="14" style="248" customWidth="1"/>
    <col min="7943" max="7943" width="11" style="248" customWidth="1"/>
    <col min="7944" max="8192" width="9.140625" style="248"/>
    <col min="8193" max="8193" width="33.28515625" style="248" customWidth="1"/>
    <col min="8194" max="8194" width="9.140625" style="248"/>
    <col min="8195" max="8195" width="16.28515625" style="248" customWidth="1"/>
    <col min="8196" max="8196" width="10.42578125" style="248" customWidth="1"/>
    <col min="8197" max="8197" width="9.140625" style="248"/>
    <col min="8198" max="8198" width="14" style="248" customWidth="1"/>
    <col min="8199" max="8199" width="11" style="248" customWidth="1"/>
    <col min="8200" max="8448" width="9.140625" style="248"/>
    <col min="8449" max="8449" width="33.28515625" style="248" customWidth="1"/>
    <col min="8450" max="8450" width="9.140625" style="248"/>
    <col min="8451" max="8451" width="16.28515625" style="248" customWidth="1"/>
    <col min="8452" max="8452" width="10.42578125" style="248" customWidth="1"/>
    <col min="8453" max="8453" width="9.140625" style="248"/>
    <col min="8454" max="8454" width="14" style="248" customWidth="1"/>
    <col min="8455" max="8455" width="11" style="248" customWidth="1"/>
    <col min="8456" max="8704" width="9.140625" style="248"/>
    <col min="8705" max="8705" width="33.28515625" style="248" customWidth="1"/>
    <col min="8706" max="8706" width="9.140625" style="248"/>
    <col min="8707" max="8707" width="16.28515625" style="248" customWidth="1"/>
    <col min="8708" max="8708" width="10.42578125" style="248" customWidth="1"/>
    <col min="8709" max="8709" width="9.140625" style="248"/>
    <col min="8710" max="8710" width="14" style="248" customWidth="1"/>
    <col min="8711" max="8711" width="11" style="248" customWidth="1"/>
    <col min="8712" max="8960" width="9.140625" style="248"/>
    <col min="8961" max="8961" width="33.28515625" style="248" customWidth="1"/>
    <col min="8962" max="8962" width="9.140625" style="248"/>
    <col min="8963" max="8963" width="16.28515625" style="248" customWidth="1"/>
    <col min="8964" max="8964" width="10.42578125" style="248" customWidth="1"/>
    <col min="8965" max="8965" width="9.140625" style="248"/>
    <col min="8966" max="8966" width="14" style="248" customWidth="1"/>
    <col min="8967" max="8967" width="11" style="248" customWidth="1"/>
    <col min="8968" max="9216" width="9.140625" style="248"/>
    <col min="9217" max="9217" width="33.28515625" style="248" customWidth="1"/>
    <col min="9218" max="9218" width="9.140625" style="248"/>
    <col min="9219" max="9219" width="16.28515625" style="248" customWidth="1"/>
    <col min="9220" max="9220" width="10.42578125" style="248" customWidth="1"/>
    <col min="9221" max="9221" width="9.140625" style="248"/>
    <col min="9222" max="9222" width="14" style="248" customWidth="1"/>
    <col min="9223" max="9223" width="11" style="248" customWidth="1"/>
    <col min="9224" max="9472" width="9.140625" style="248"/>
    <col min="9473" max="9473" width="33.28515625" style="248" customWidth="1"/>
    <col min="9474" max="9474" width="9.140625" style="248"/>
    <col min="9475" max="9475" width="16.28515625" style="248" customWidth="1"/>
    <col min="9476" max="9476" width="10.42578125" style="248" customWidth="1"/>
    <col min="9477" max="9477" width="9.140625" style="248"/>
    <col min="9478" max="9478" width="14" style="248" customWidth="1"/>
    <col min="9479" max="9479" width="11" style="248" customWidth="1"/>
    <col min="9480" max="9728" width="9.140625" style="248"/>
    <col min="9729" max="9729" width="33.28515625" style="248" customWidth="1"/>
    <col min="9730" max="9730" width="9.140625" style="248"/>
    <col min="9731" max="9731" width="16.28515625" style="248" customWidth="1"/>
    <col min="9732" max="9732" width="10.42578125" style="248" customWidth="1"/>
    <col min="9733" max="9733" width="9.140625" style="248"/>
    <col min="9734" max="9734" width="14" style="248" customWidth="1"/>
    <col min="9735" max="9735" width="11" style="248" customWidth="1"/>
    <col min="9736" max="9984" width="9.140625" style="248"/>
    <col min="9985" max="9985" width="33.28515625" style="248" customWidth="1"/>
    <col min="9986" max="9986" width="9.140625" style="248"/>
    <col min="9987" max="9987" width="16.28515625" style="248" customWidth="1"/>
    <col min="9988" max="9988" width="10.42578125" style="248" customWidth="1"/>
    <col min="9989" max="9989" width="9.140625" style="248"/>
    <col min="9990" max="9990" width="14" style="248" customWidth="1"/>
    <col min="9991" max="9991" width="11" style="248" customWidth="1"/>
    <col min="9992" max="10240" width="9.140625" style="248"/>
    <col min="10241" max="10241" width="33.28515625" style="248" customWidth="1"/>
    <col min="10242" max="10242" width="9.140625" style="248"/>
    <col min="10243" max="10243" width="16.28515625" style="248" customWidth="1"/>
    <col min="10244" max="10244" width="10.42578125" style="248" customWidth="1"/>
    <col min="10245" max="10245" width="9.140625" style="248"/>
    <col min="10246" max="10246" width="14" style="248" customWidth="1"/>
    <col min="10247" max="10247" width="11" style="248" customWidth="1"/>
    <col min="10248" max="10496" width="9.140625" style="248"/>
    <col min="10497" max="10497" width="33.28515625" style="248" customWidth="1"/>
    <col min="10498" max="10498" width="9.140625" style="248"/>
    <col min="10499" max="10499" width="16.28515625" style="248" customWidth="1"/>
    <col min="10500" max="10500" width="10.42578125" style="248" customWidth="1"/>
    <col min="10501" max="10501" width="9.140625" style="248"/>
    <col min="10502" max="10502" width="14" style="248" customWidth="1"/>
    <col min="10503" max="10503" width="11" style="248" customWidth="1"/>
    <col min="10504" max="10752" width="9.140625" style="248"/>
    <col min="10753" max="10753" width="33.28515625" style="248" customWidth="1"/>
    <col min="10754" max="10754" width="9.140625" style="248"/>
    <col min="10755" max="10755" width="16.28515625" style="248" customWidth="1"/>
    <col min="10756" max="10756" width="10.42578125" style="248" customWidth="1"/>
    <col min="10757" max="10757" width="9.140625" style="248"/>
    <col min="10758" max="10758" width="14" style="248" customWidth="1"/>
    <col min="10759" max="10759" width="11" style="248" customWidth="1"/>
    <col min="10760" max="11008" width="9.140625" style="248"/>
    <col min="11009" max="11009" width="33.28515625" style="248" customWidth="1"/>
    <col min="11010" max="11010" width="9.140625" style="248"/>
    <col min="11011" max="11011" width="16.28515625" style="248" customWidth="1"/>
    <col min="11012" max="11012" width="10.42578125" style="248" customWidth="1"/>
    <col min="11013" max="11013" width="9.140625" style="248"/>
    <col min="11014" max="11014" width="14" style="248" customWidth="1"/>
    <col min="11015" max="11015" width="11" style="248" customWidth="1"/>
    <col min="11016" max="11264" width="9.140625" style="248"/>
    <col min="11265" max="11265" width="33.28515625" style="248" customWidth="1"/>
    <col min="11266" max="11266" width="9.140625" style="248"/>
    <col min="11267" max="11267" width="16.28515625" style="248" customWidth="1"/>
    <col min="11268" max="11268" width="10.42578125" style="248" customWidth="1"/>
    <col min="11269" max="11269" width="9.140625" style="248"/>
    <col min="11270" max="11270" width="14" style="248" customWidth="1"/>
    <col min="11271" max="11271" width="11" style="248" customWidth="1"/>
    <col min="11272" max="11520" width="9.140625" style="248"/>
    <col min="11521" max="11521" width="33.28515625" style="248" customWidth="1"/>
    <col min="11522" max="11522" width="9.140625" style="248"/>
    <col min="11523" max="11523" width="16.28515625" style="248" customWidth="1"/>
    <col min="11524" max="11524" width="10.42578125" style="248" customWidth="1"/>
    <col min="11525" max="11525" width="9.140625" style="248"/>
    <col min="11526" max="11526" width="14" style="248" customWidth="1"/>
    <col min="11527" max="11527" width="11" style="248" customWidth="1"/>
    <col min="11528" max="11776" width="9.140625" style="248"/>
    <col min="11777" max="11777" width="33.28515625" style="248" customWidth="1"/>
    <col min="11778" max="11778" width="9.140625" style="248"/>
    <col min="11779" max="11779" width="16.28515625" style="248" customWidth="1"/>
    <col min="11780" max="11780" width="10.42578125" style="248" customWidth="1"/>
    <col min="11781" max="11781" width="9.140625" style="248"/>
    <col min="11782" max="11782" width="14" style="248" customWidth="1"/>
    <col min="11783" max="11783" width="11" style="248" customWidth="1"/>
    <col min="11784" max="12032" width="9.140625" style="248"/>
    <col min="12033" max="12033" width="33.28515625" style="248" customWidth="1"/>
    <col min="12034" max="12034" width="9.140625" style="248"/>
    <col min="12035" max="12035" width="16.28515625" style="248" customWidth="1"/>
    <col min="12036" max="12036" width="10.42578125" style="248" customWidth="1"/>
    <col min="12037" max="12037" width="9.140625" style="248"/>
    <col min="12038" max="12038" width="14" style="248" customWidth="1"/>
    <col min="12039" max="12039" width="11" style="248" customWidth="1"/>
    <col min="12040" max="12288" width="9.140625" style="248"/>
    <col min="12289" max="12289" width="33.28515625" style="248" customWidth="1"/>
    <col min="12290" max="12290" width="9.140625" style="248"/>
    <col min="12291" max="12291" width="16.28515625" style="248" customWidth="1"/>
    <col min="12292" max="12292" width="10.42578125" style="248" customWidth="1"/>
    <col min="12293" max="12293" width="9.140625" style="248"/>
    <col min="12294" max="12294" width="14" style="248" customWidth="1"/>
    <col min="12295" max="12295" width="11" style="248" customWidth="1"/>
    <col min="12296" max="12544" width="9.140625" style="248"/>
    <col min="12545" max="12545" width="33.28515625" style="248" customWidth="1"/>
    <col min="12546" max="12546" width="9.140625" style="248"/>
    <col min="12547" max="12547" width="16.28515625" style="248" customWidth="1"/>
    <col min="12548" max="12548" width="10.42578125" style="248" customWidth="1"/>
    <col min="12549" max="12549" width="9.140625" style="248"/>
    <col min="12550" max="12550" width="14" style="248" customWidth="1"/>
    <col min="12551" max="12551" width="11" style="248" customWidth="1"/>
    <col min="12552" max="12800" width="9.140625" style="248"/>
    <col min="12801" max="12801" width="33.28515625" style="248" customWidth="1"/>
    <col min="12802" max="12802" width="9.140625" style="248"/>
    <col min="12803" max="12803" width="16.28515625" style="248" customWidth="1"/>
    <col min="12804" max="12804" width="10.42578125" style="248" customWidth="1"/>
    <col min="12805" max="12805" width="9.140625" style="248"/>
    <col min="12806" max="12806" width="14" style="248" customWidth="1"/>
    <col min="12807" max="12807" width="11" style="248" customWidth="1"/>
    <col min="12808" max="13056" width="9.140625" style="248"/>
    <col min="13057" max="13057" width="33.28515625" style="248" customWidth="1"/>
    <col min="13058" max="13058" width="9.140625" style="248"/>
    <col min="13059" max="13059" width="16.28515625" style="248" customWidth="1"/>
    <col min="13060" max="13060" width="10.42578125" style="248" customWidth="1"/>
    <col min="13061" max="13061" width="9.140625" style="248"/>
    <col min="13062" max="13062" width="14" style="248" customWidth="1"/>
    <col min="13063" max="13063" width="11" style="248" customWidth="1"/>
    <col min="13064" max="13312" width="9.140625" style="248"/>
    <col min="13313" max="13313" width="33.28515625" style="248" customWidth="1"/>
    <col min="13314" max="13314" width="9.140625" style="248"/>
    <col min="13315" max="13315" width="16.28515625" style="248" customWidth="1"/>
    <col min="13316" max="13316" width="10.42578125" style="248" customWidth="1"/>
    <col min="13317" max="13317" width="9.140625" style="248"/>
    <col min="13318" max="13318" width="14" style="248" customWidth="1"/>
    <col min="13319" max="13319" width="11" style="248" customWidth="1"/>
    <col min="13320" max="13568" width="9.140625" style="248"/>
    <col min="13569" max="13569" width="33.28515625" style="248" customWidth="1"/>
    <col min="13570" max="13570" width="9.140625" style="248"/>
    <col min="13571" max="13571" width="16.28515625" style="248" customWidth="1"/>
    <col min="13572" max="13572" width="10.42578125" style="248" customWidth="1"/>
    <col min="13573" max="13573" width="9.140625" style="248"/>
    <col min="13574" max="13574" width="14" style="248" customWidth="1"/>
    <col min="13575" max="13575" width="11" style="248" customWidth="1"/>
    <col min="13576" max="13824" width="9.140625" style="248"/>
    <col min="13825" max="13825" width="33.28515625" style="248" customWidth="1"/>
    <col min="13826" max="13826" width="9.140625" style="248"/>
    <col min="13827" max="13827" width="16.28515625" style="248" customWidth="1"/>
    <col min="13828" max="13828" width="10.42578125" style="248" customWidth="1"/>
    <col min="13829" max="13829" width="9.140625" style="248"/>
    <col min="13830" max="13830" width="14" style="248" customWidth="1"/>
    <col min="13831" max="13831" width="11" style="248" customWidth="1"/>
    <col min="13832" max="14080" width="9.140625" style="248"/>
    <col min="14081" max="14081" width="33.28515625" style="248" customWidth="1"/>
    <col min="14082" max="14082" width="9.140625" style="248"/>
    <col min="14083" max="14083" width="16.28515625" style="248" customWidth="1"/>
    <col min="14084" max="14084" width="10.42578125" style="248" customWidth="1"/>
    <col min="14085" max="14085" width="9.140625" style="248"/>
    <col min="14086" max="14086" width="14" style="248" customWidth="1"/>
    <col min="14087" max="14087" width="11" style="248" customWidth="1"/>
    <col min="14088" max="14336" width="9.140625" style="248"/>
    <col min="14337" max="14337" width="33.28515625" style="248" customWidth="1"/>
    <col min="14338" max="14338" width="9.140625" style="248"/>
    <col min="14339" max="14339" width="16.28515625" style="248" customWidth="1"/>
    <col min="14340" max="14340" width="10.42578125" style="248" customWidth="1"/>
    <col min="14341" max="14341" width="9.140625" style="248"/>
    <col min="14342" max="14342" width="14" style="248" customWidth="1"/>
    <col min="14343" max="14343" width="11" style="248" customWidth="1"/>
    <col min="14344" max="14592" width="9.140625" style="248"/>
    <col min="14593" max="14593" width="33.28515625" style="248" customWidth="1"/>
    <col min="14594" max="14594" width="9.140625" style="248"/>
    <col min="14595" max="14595" width="16.28515625" style="248" customWidth="1"/>
    <col min="14596" max="14596" width="10.42578125" style="248" customWidth="1"/>
    <col min="14597" max="14597" width="9.140625" style="248"/>
    <col min="14598" max="14598" width="14" style="248" customWidth="1"/>
    <col min="14599" max="14599" width="11" style="248" customWidth="1"/>
    <col min="14600" max="14848" width="9.140625" style="248"/>
    <col min="14849" max="14849" width="33.28515625" style="248" customWidth="1"/>
    <col min="14850" max="14850" width="9.140625" style="248"/>
    <col min="14851" max="14851" width="16.28515625" style="248" customWidth="1"/>
    <col min="14852" max="14852" width="10.42578125" style="248" customWidth="1"/>
    <col min="14853" max="14853" width="9.140625" style="248"/>
    <col min="14854" max="14854" width="14" style="248" customWidth="1"/>
    <col min="14855" max="14855" width="11" style="248" customWidth="1"/>
    <col min="14856" max="15104" width="9.140625" style="248"/>
    <col min="15105" max="15105" width="33.28515625" style="248" customWidth="1"/>
    <col min="15106" max="15106" width="9.140625" style="248"/>
    <col min="15107" max="15107" width="16.28515625" style="248" customWidth="1"/>
    <col min="15108" max="15108" width="10.42578125" style="248" customWidth="1"/>
    <col min="15109" max="15109" width="9.140625" style="248"/>
    <col min="15110" max="15110" width="14" style="248" customWidth="1"/>
    <col min="15111" max="15111" width="11" style="248" customWidth="1"/>
    <col min="15112" max="15360" width="9.140625" style="248"/>
    <col min="15361" max="15361" width="33.28515625" style="248" customWidth="1"/>
    <col min="15362" max="15362" width="9.140625" style="248"/>
    <col min="15363" max="15363" width="16.28515625" style="248" customWidth="1"/>
    <col min="15364" max="15364" width="10.42578125" style="248" customWidth="1"/>
    <col min="15365" max="15365" width="9.140625" style="248"/>
    <col min="15366" max="15366" width="14" style="248" customWidth="1"/>
    <col min="15367" max="15367" width="11" style="248" customWidth="1"/>
    <col min="15368" max="15616" width="9.140625" style="248"/>
    <col min="15617" max="15617" width="33.28515625" style="248" customWidth="1"/>
    <col min="15618" max="15618" width="9.140625" style="248"/>
    <col min="15619" max="15619" width="16.28515625" style="248" customWidth="1"/>
    <col min="15620" max="15620" width="10.42578125" style="248" customWidth="1"/>
    <col min="15621" max="15621" width="9.140625" style="248"/>
    <col min="15622" max="15622" width="14" style="248" customWidth="1"/>
    <col min="15623" max="15623" width="11" style="248" customWidth="1"/>
    <col min="15624" max="15872" width="9.140625" style="248"/>
    <col min="15873" max="15873" width="33.28515625" style="248" customWidth="1"/>
    <col min="15874" max="15874" width="9.140625" style="248"/>
    <col min="15875" max="15875" width="16.28515625" style="248" customWidth="1"/>
    <col min="15876" max="15876" width="10.42578125" style="248" customWidth="1"/>
    <col min="15877" max="15877" width="9.140625" style="248"/>
    <col min="15878" max="15878" width="14" style="248" customWidth="1"/>
    <col min="15879" max="15879" width="11" style="248" customWidth="1"/>
    <col min="15880" max="16128" width="9.140625" style="248"/>
    <col min="16129" max="16129" width="33.28515625" style="248" customWidth="1"/>
    <col min="16130" max="16130" width="9.140625" style="248"/>
    <col min="16131" max="16131" width="16.28515625" style="248" customWidth="1"/>
    <col min="16132" max="16132" width="10.42578125" style="248" customWidth="1"/>
    <col min="16133" max="16133" width="9.140625" style="248"/>
    <col min="16134" max="16134" width="14" style="248" customWidth="1"/>
    <col min="16135" max="16135" width="11" style="248" customWidth="1"/>
    <col min="16136" max="16384" width="9.140625" style="248"/>
  </cols>
  <sheetData>
    <row r="1" spans="1:14" ht="18">
      <c r="A1" s="893" t="s">
        <v>31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</row>
    <row r="2" spans="1:14" ht="15.75">
      <c r="A2" s="894" t="s">
        <v>377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</row>
    <row r="3" spans="1:14" ht="15.75">
      <c r="A3" s="489" t="s">
        <v>585</v>
      </c>
      <c r="B3" s="489"/>
      <c r="C3" s="489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.7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>
      <c r="A5" s="252" t="s">
        <v>272</v>
      </c>
      <c r="B5" s="895" t="s">
        <v>378</v>
      </c>
      <c r="C5" s="895"/>
      <c r="D5" s="895"/>
      <c r="E5" s="895"/>
      <c r="F5" s="252" t="s">
        <v>344</v>
      </c>
      <c r="G5" s="252"/>
      <c r="H5" s="896">
        <v>10</v>
      </c>
      <c r="I5" s="896"/>
      <c r="J5" s="252" t="s">
        <v>32</v>
      </c>
      <c r="K5" s="364">
        <v>5050</v>
      </c>
      <c r="L5" s="252" t="s">
        <v>86</v>
      </c>
      <c r="M5" s="252"/>
      <c r="N5" s="364">
        <v>800</v>
      </c>
    </row>
    <row r="6" spans="1:14">
      <c r="A6" s="252"/>
      <c r="B6" s="254"/>
      <c r="C6" s="254"/>
      <c r="D6" s="254"/>
      <c r="E6" s="254"/>
      <c r="F6" s="252"/>
      <c r="G6" s="252"/>
      <c r="H6" s="252"/>
      <c r="I6" s="252"/>
      <c r="J6" s="252"/>
      <c r="K6" s="252"/>
      <c r="L6" s="252"/>
      <c r="M6" s="252"/>
      <c r="N6" s="252"/>
    </row>
    <row r="7" spans="1:14">
      <c r="A7" s="252" t="s">
        <v>347</v>
      </c>
      <c r="B7" s="889" t="s">
        <v>379</v>
      </c>
      <c r="C7" s="890"/>
      <c r="D7" s="890"/>
      <c r="E7" s="891"/>
      <c r="F7" s="892" t="s">
        <v>280</v>
      </c>
      <c r="G7" s="892"/>
      <c r="H7" s="889" t="s">
        <v>380</v>
      </c>
      <c r="I7" s="890"/>
      <c r="J7" s="891"/>
      <c r="K7" s="252"/>
      <c r="L7" s="252"/>
      <c r="M7" s="252"/>
      <c r="N7" s="252"/>
    </row>
    <row r="8" spans="1:14">
      <c r="A8" s="252"/>
      <c r="B8" s="254"/>
      <c r="C8" s="254"/>
      <c r="D8" s="254"/>
      <c r="E8" s="254"/>
      <c r="F8" s="367"/>
      <c r="G8" s="367"/>
      <c r="H8" s="254"/>
      <c r="I8" s="254"/>
      <c r="J8" s="254"/>
      <c r="K8" s="252"/>
      <c r="L8" s="252"/>
      <c r="M8" s="252"/>
      <c r="N8" s="252"/>
    </row>
    <row r="9" spans="1:14" ht="38.25">
      <c r="A9" s="256" t="s">
        <v>350</v>
      </c>
      <c r="B9" s="897" t="s">
        <v>381</v>
      </c>
      <c r="C9" s="897"/>
      <c r="D9" s="897"/>
      <c r="E9" s="897"/>
      <c r="F9" s="898"/>
      <c r="G9" s="899"/>
      <c r="H9" s="897" t="s">
        <v>382</v>
      </c>
      <c r="I9" s="897"/>
      <c r="J9" s="897"/>
      <c r="K9" s="897"/>
      <c r="L9" s="252"/>
      <c r="M9" s="252"/>
      <c r="N9" s="252"/>
    </row>
    <row r="10" spans="1:14">
      <c r="A10" s="252"/>
      <c r="B10" s="897"/>
      <c r="C10" s="897"/>
      <c r="D10" s="897"/>
      <c r="E10" s="897"/>
      <c r="F10" s="898"/>
      <c r="G10" s="899"/>
      <c r="H10" s="897"/>
      <c r="I10" s="897"/>
      <c r="J10" s="897"/>
      <c r="K10" s="897"/>
      <c r="L10" s="252"/>
      <c r="M10" s="252"/>
      <c r="N10" s="252"/>
    </row>
    <row r="11" spans="1:14">
      <c r="A11" s="252"/>
      <c r="B11" s="897"/>
      <c r="C11" s="897"/>
      <c r="D11" s="897"/>
      <c r="E11" s="897"/>
      <c r="F11" s="898"/>
      <c r="G11" s="899"/>
      <c r="H11" s="897"/>
      <c r="I11" s="897"/>
      <c r="J11" s="897"/>
      <c r="K11" s="897"/>
      <c r="L11" s="252"/>
      <c r="M11" s="252"/>
      <c r="N11" s="252"/>
    </row>
    <row r="12" spans="1:14">
      <c r="A12" s="252"/>
      <c r="B12" s="254"/>
      <c r="C12" s="254"/>
      <c r="D12" s="254"/>
      <c r="E12" s="254"/>
      <c r="F12" s="252"/>
      <c r="G12" s="252"/>
      <c r="H12" s="254"/>
      <c r="I12" s="254"/>
      <c r="J12" s="254"/>
      <c r="K12" s="254"/>
      <c r="L12" s="252"/>
      <c r="M12" s="252"/>
      <c r="N12" s="252"/>
    </row>
    <row r="13" spans="1:14">
      <c r="A13" s="252" t="s">
        <v>353</v>
      </c>
      <c r="B13" s="364">
        <v>32</v>
      </c>
      <c r="C13" s="252" t="s">
        <v>354</v>
      </c>
      <c r="D13" s="252"/>
      <c r="E13" s="252"/>
      <c r="F13" s="364">
        <v>24</v>
      </c>
      <c r="G13" s="252" t="s">
        <v>36</v>
      </c>
      <c r="H13" s="365">
        <v>75</v>
      </c>
      <c r="I13" s="252" t="s">
        <v>37</v>
      </c>
      <c r="J13" s="365">
        <v>19</v>
      </c>
      <c r="K13" s="252" t="s">
        <v>38</v>
      </c>
      <c r="L13" s="364">
        <v>95</v>
      </c>
      <c r="M13" s="252"/>
      <c r="N13" s="252"/>
    </row>
    <row r="14" spans="1:14">
      <c r="A14" s="252"/>
      <c r="B14" s="252"/>
      <c r="C14" s="252"/>
      <c r="D14" s="252"/>
      <c r="E14" s="252"/>
      <c r="F14" s="252"/>
      <c r="G14" s="252"/>
      <c r="H14" s="257"/>
      <c r="I14" s="257"/>
      <c r="J14" s="257"/>
      <c r="K14" s="254"/>
      <c r="L14" s="254"/>
      <c r="M14" s="254"/>
      <c r="N14" s="252"/>
    </row>
    <row r="15" spans="1:14">
      <c r="A15" s="252"/>
      <c r="C15" s="252"/>
      <c r="D15" s="252"/>
      <c r="E15" s="252"/>
      <c r="G15" s="252"/>
      <c r="I15" s="252"/>
      <c r="J15" s="252"/>
      <c r="K15" s="252"/>
      <c r="L15" s="252"/>
      <c r="M15" s="252"/>
      <c r="N15" s="252"/>
    </row>
    <row r="16" spans="1:14">
      <c r="A16" s="252" t="s">
        <v>39</v>
      </c>
      <c r="B16" s="252" t="s">
        <v>40</v>
      </c>
      <c r="C16" s="364">
        <v>733</v>
      </c>
      <c r="D16" s="252" t="s">
        <v>41</v>
      </c>
      <c r="E16" s="364">
        <v>137</v>
      </c>
      <c r="F16" s="252" t="s">
        <v>42</v>
      </c>
      <c r="G16" s="253">
        <v>132</v>
      </c>
      <c r="H16" s="252" t="s">
        <v>64</v>
      </c>
      <c r="I16" s="253">
        <v>1002</v>
      </c>
      <c r="J16" s="252" t="s">
        <v>43</v>
      </c>
      <c r="K16" s="364">
        <v>269</v>
      </c>
      <c r="L16" s="252" t="s">
        <v>232</v>
      </c>
      <c r="M16" s="252"/>
      <c r="N16" s="364">
        <v>103</v>
      </c>
    </row>
    <row r="17" spans="1:14">
      <c r="A17" s="252" t="s">
        <v>45</v>
      </c>
      <c r="B17" s="252" t="s">
        <v>46</v>
      </c>
      <c r="C17" s="364">
        <v>1952</v>
      </c>
      <c r="D17" s="252" t="s">
        <v>47</v>
      </c>
      <c r="E17" s="364">
        <v>315</v>
      </c>
      <c r="F17" s="252" t="s">
        <v>48</v>
      </c>
      <c r="G17" s="253">
        <v>270</v>
      </c>
      <c r="H17" s="252" t="s">
        <v>77</v>
      </c>
      <c r="I17" s="253">
        <v>2537</v>
      </c>
      <c r="J17" s="252"/>
      <c r="K17" s="252"/>
      <c r="L17" s="252"/>
      <c r="M17" s="252"/>
      <c r="N17" s="252"/>
    </row>
    <row r="18" spans="1:14">
      <c r="A18" s="252"/>
      <c r="B18" s="252" t="s">
        <v>49</v>
      </c>
      <c r="C18" s="364">
        <v>1688</v>
      </c>
      <c r="D18" s="252" t="s">
        <v>50</v>
      </c>
      <c r="E18" s="364">
        <v>329</v>
      </c>
      <c r="F18" s="252" t="s">
        <v>51</v>
      </c>
      <c r="G18" s="253">
        <v>226</v>
      </c>
      <c r="H18" s="252" t="s">
        <v>76</v>
      </c>
      <c r="I18" s="253">
        <v>2243</v>
      </c>
      <c r="J18" s="252"/>
      <c r="K18" s="252"/>
      <c r="L18" s="252"/>
      <c r="M18" s="252"/>
      <c r="N18" s="252"/>
    </row>
    <row r="19" spans="1:14">
      <c r="A19" s="252"/>
      <c r="B19" s="252"/>
      <c r="C19" s="252"/>
      <c r="D19" s="252"/>
      <c r="E19" s="252"/>
      <c r="F19" s="252"/>
      <c r="G19" s="252"/>
      <c r="H19" s="252"/>
      <c r="I19" s="258"/>
      <c r="J19" s="252"/>
      <c r="K19" s="252"/>
      <c r="L19" s="252"/>
      <c r="M19" s="252"/>
      <c r="N19" s="252"/>
    </row>
    <row r="20" spans="1:14">
      <c r="A20" s="252" t="s">
        <v>52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4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>
      <c r="A22" s="896" t="s">
        <v>53</v>
      </c>
      <c r="B22" s="900" t="s">
        <v>54</v>
      </c>
      <c r="C22" s="900" t="s">
        <v>55</v>
      </c>
      <c r="D22" s="900" t="s">
        <v>669</v>
      </c>
      <c r="E22" s="900" t="s">
        <v>103</v>
      </c>
      <c r="F22" s="895" t="s">
        <v>664</v>
      </c>
      <c r="G22" s="895"/>
      <c r="H22" s="895"/>
      <c r="I22" s="895"/>
      <c r="J22" s="895"/>
      <c r="K22" s="895"/>
      <c r="L22" s="895"/>
      <c r="M22" s="895"/>
      <c r="N22" s="895"/>
    </row>
    <row r="23" spans="1:14" ht="21.75" customHeight="1">
      <c r="A23" s="896"/>
      <c r="B23" s="900"/>
      <c r="C23" s="900"/>
      <c r="D23" s="900"/>
      <c r="E23" s="900"/>
      <c r="F23" s="364" t="s">
        <v>105</v>
      </c>
      <c r="G23" s="364" t="s">
        <v>106</v>
      </c>
      <c r="H23" s="364" t="s">
        <v>107</v>
      </c>
      <c r="I23" s="364" t="s">
        <v>108</v>
      </c>
      <c r="J23" s="364" t="s">
        <v>109</v>
      </c>
      <c r="K23" s="364" t="s">
        <v>110</v>
      </c>
      <c r="L23" s="364" t="s">
        <v>111</v>
      </c>
      <c r="M23" s="364" t="s">
        <v>64</v>
      </c>
      <c r="N23" s="364" t="s">
        <v>65</v>
      </c>
    </row>
    <row r="24" spans="1:14">
      <c r="A24" s="249" t="s">
        <v>370</v>
      </c>
      <c r="B24" s="249">
        <v>500</v>
      </c>
      <c r="C24" s="249" t="s">
        <v>300</v>
      </c>
      <c r="D24" s="259">
        <f>+K5*B24</f>
        <v>2525000</v>
      </c>
      <c r="E24" s="402">
        <v>1744296</v>
      </c>
      <c r="F24" s="259">
        <f>686640+499985</f>
        <v>1186625</v>
      </c>
      <c r="G24" s="259">
        <f>463418+97000+31400</f>
        <v>591818</v>
      </c>
      <c r="H24" s="249"/>
      <c r="I24" s="249"/>
      <c r="J24" s="249"/>
      <c r="K24" s="249"/>
      <c r="L24" s="249"/>
      <c r="M24" s="259">
        <f>+F24+G24</f>
        <v>1778443</v>
      </c>
      <c r="N24" s="250">
        <f>+M24/E24*100</f>
        <v>101.9576379238386</v>
      </c>
    </row>
    <row r="25" spans="1:14">
      <c r="A25" s="249" t="s">
        <v>338</v>
      </c>
      <c r="B25" s="249">
        <v>360</v>
      </c>
      <c r="C25" s="249" t="s">
        <v>300</v>
      </c>
      <c r="D25" s="259">
        <f>5050*B25</f>
        <v>1818000</v>
      </c>
      <c r="E25" s="259">
        <v>422900</v>
      </c>
      <c r="F25" s="259">
        <v>37950</v>
      </c>
      <c r="G25" s="259">
        <v>304323</v>
      </c>
      <c r="H25" s="249"/>
      <c r="I25" s="249"/>
      <c r="J25" s="249"/>
      <c r="K25" s="249"/>
      <c r="L25" s="249"/>
      <c r="M25" s="259">
        <f t="shared" ref="M25:M31" si="0">+F25+G25</f>
        <v>342273</v>
      </c>
      <c r="N25" s="250">
        <f t="shared" ref="N25:N32" si="1">+M25/E25*100</f>
        <v>80.934736344289433</v>
      </c>
    </row>
    <row r="26" spans="1:14">
      <c r="A26" s="249" t="s">
        <v>321</v>
      </c>
      <c r="B26" s="249">
        <v>8.4</v>
      </c>
      <c r="C26" s="249" t="s">
        <v>363</v>
      </c>
      <c r="D26" s="259">
        <f>(6000*12+10000*72)*7</f>
        <v>5544000</v>
      </c>
      <c r="E26" s="259">
        <v>660000</v>
      </c>
      <c r="F26" s="259">
        <v>336021</v>
      </c>
      <c r="G26" s="259">
        <f>268710+60000</f>
        <v>328710</v>
      </c>
      <c r="H26" s="249"/>
      <c r="I26" s="249"/>
      <c r="J26" s="249"/>
      <c r="K26" s="249"/>
      <c r="L26" s="249"/>
      <c r="M26" s="259">
        <f t="shared" si="0"/>
        <v>664731</v>
      </c>
      <c r="N26" s="250">
        <f t="shared" si="1"/>
        <v>100.71681818181818</v>
      </c>
    </row>
    <row r="27" spans="1:14">
      <c r="A27" s="249" t="s">
        <v>246</v>
      </c>
      <c r="B27" s="249">
        <v>0.84</v>
      </c>
      <c r="C27" s="249" t="s">
        <v>363</v>
      </c>
      <c r="D27" s="259">
        <f>1000*7*84</f>
        <v>588000</v>
      </c>
      <c r="E27" s="259">
        <v>240000</v>
      </c>
      <c r="F27" s="259">
        <f>86768+50512</f>
        <v>137280</v>
      </c>
      <c r="G27" s="259">
        <v>99484</v>
      </c>
      <c r="H27" s="249"/>
      <c r="I27" s="249"/>
      <c r="J27" s="249"/>
      <c r="K27" s="249"/>
      <c r="L27" s="249"/>
      <c r="M27" s="259">
        <f t="shared" si="0"/>
        <v>236764</v>
      </c>
      <c r="N27" s="250">
        <f t="shared" si="1"/>
        <v>98.651666666666671</v>
      </c>
    </row>
    <row r="28" spans="1:14">
      <c r="A28" s="249" t="s">
        <v>322</v>
      </c>
      <c r="B28" s="249">
        <v>3.6</v>
      </c>
      <c r="C28" s="249" t="s">
        <v>363</v>
      </c>
      <c r="D28" s="248">
        <f>2000*24*10+60*3000*10</f>
        <v>2280000</v>
      </c>
      <c r="E28" s="259">
        <v>500000</v>
      </c>
      <c r="F28" s="259">
        <v>260000</v>
      </c>
      <c r="G28" s="259">
        <v>240000</v>
      </c>
      <c r="H28" s="249"/>
      <c r="I28" s="249"/>
      <c r="J28" s="249"/>
      <c r="K28" s="249"/>
      <c r="L28" s="249"/>
      <c r="M28" s="259">
        <f t="shared" si="0"/>
        <v>500000</v>
      </c>
      <c r="N28" s="250">
        <f t="shared" si="1"/>
        <v>100</v>
      </c>
    </row>
    <row r="29" spans="1:14">
      <c r="A29" s="249" t="s">
        <v>305</v>
      </c>
      <c r="B29" s="249">
        <v>0.24</v>
      </c>
      <c r="C29" s="249" t="s">
        <v>363</v>
      </c>
      <c r="D29" s="259">
        <f>24000*7</f>
        <v>168000</v>
      </c>
      <c r="E29" s="259">
        <v>50000</v>
      </c>
      <c r="F29" s="259">
        <v>26248</v>
      </c>
      <c r="G29" s="259">
        <v>24000</v>
      </c>
      <c r="H29" s="249"/>
      <c r="I29" s="249"/>
      <c r="J29" s="249"/>
      <c r="K29" s="249"/>
      <c r="L29" s="249"/>
      <c r="M29" s="259">
        <f t="shared" si="0"/>
        <v>50248</v>
      </c>
      <c r="N29" s="250">
        <f t="shared" si="1"/>
        <v>100.49600000000001</v>
      </c>
    </row>
    <row r="30" spans="1:14">
      <c r="A30" s="249" t="s">
        <v>306</v>
      </c>
      <c r="B30" s="249">
        <v>0.36</v>
      </c>
      <c r="C30" s="249" t="s">
        <v>363</v>
      </c>
      <c r="D30" s="259">
        <f>36000*7</f>
        <v>252000</v>
      </c>
      <c r="E30" s="259">
        <v>75000</v>
      </c>
      <c r="F30" s="259">
        <v>49936</v>
      </c>
      <c r="G30" s="259">
        <v>41128</v>
      </c>
      <c r="H30" s="249"/>
      <c r="I30" s="249"/>
      <c r="J30" s="249"/>
      <c r="K30" s="249"/>
      <c r="L30" s="249"/>
      <c r="M30" s="259">
        <f t="shared" si="0"/>
        <v>91064</v>
      </c>
      <c r="N30" s="250">
        <f t="shared" si="1"/>
        <v>121.41866666666668</v>
      </c>
    </row>
    <row r="31" spans="1:14">
      <c r="A31" s="249" t="s">
        <v>371</v>
      </c>
      <c r="B31" s="249">
        <v>0.2</v>
      </c>
      <c r="C31" s="249" t="s">
        <v>68</v>
      </c>
      <c r="D31" s="259">
        <v>20000</v>
      </c>
      <c r="E31" s="259">
        <v>20000</v>
      </c>
      <c r="F31" s="259">
        <v>20000</v>
      </c>
      <c r="G31" s="259">
        <v>0</v>
      </c>
      <c r="H31" s="249"/>
      <c r="I31" s="249"/>
      <c r="J31" s="249"/>
      <c r="K31" s="249"/>
      <c r="L31" s="249"/>
      <c r="M31" s="259">
        <f t="shared" si="0"/>
        <v>20000</v>
      </c>
      <c r="N31" s="250">
        <f t="shared" si="1"/>
        <v>100</v>
      </c>
    </row>
    <row r="32" spans="1:14">
      <c r="A32" s="364" t="s">
        <v>69</v>
      </c>
      <c r="B32" s="249"/>
      <c r="C32" s="249"/>
      <c r="D32" s="260">
        <f>SUM(D24:D31)</f>
        <v>13195000</v>
      </c>
      <c r="E32" s="260">
        <v>3712196</v>
      </c>
      <c r="F32" s="260">
        <f>SUM(F24:F31)</f>
        <v>2054060</v>
      </c>
      <c r="G32" s="260">
        <f>SUM(G24:G31)</f>
        <v>1629463</v>
      </c>
      <c r="H32" s="251">
        <v>0</v>
      </c>
      <c r="I32" s="251">
        <v>0</v>
      </c>
      <c r="J32" s="251">
        <v>0</v>
      </c>
      <c r="K32" s="251">
        <v>0</v>
      </c>
      <c r="L32" s="251">
        <v>0</v>
      </c>
      <c r="M32" s="260">
        <f>SUM(M24:M31)</f>
        <v>3683523</v>
      </c>
      <c r="N32" s="250">
        <f t="shared" si="1"/>
        <v>99.227600051290395</v>
      </c>
    </row>
    <row r="34" spans="1:9" ht="20.25" customHeight="1">
      <c r="A34" s="115" t="s">
        <v>665</v>
      </c>
      <c r="E34" s="248" t="s">
        <v>666</v>
      </c>
    </row>
    <row r="35" spans="1:9" ht="20.25" customHeight="1">
      <c r="A35" s="57"/>
      <c r="I35" s="57"/>
    </row>
    <row r="36" spans="1:9" ht="20.25" customHeight="1">
      <c r="A36" s="248" t="s">
        <v>667</v>
      </c>
      <c r="E36" s="248" t="s">
        <v>668</v>
      </c>
    </row>
  </sheetData>
  <mergeCells count="17">
    <mergeCell ref="B9:E11"/>
    <mergeCell ref="F9:G11"/>
    <mergeCell ref="H9:K11"/>
    <mergeCell ref="A22:A23"/>
    <mergeCell ref="B22:B23"/>
    <mergeCell ref="C22:C23"/>
    <mergeCell ref="D22:D23"/>
    <mergeCell ref="E22:E23"/>
    <mergeCell ref="F22:N22"/>
    <mergeCell ref="B7:E7"/>
    <mergeCell ref="F7:G7"/>
    <mergeCell ref="H7:J7"/>
    <mergeCell ref="A1:N1"/>
    <mergeCell ref="A2:N2"/>
    <mergeCell ref="A3:C3"/>
    <mergeCell ref="B5:E5"/>
    <mergeCell ref="H5:I5"/>
  </mergeCells>
  <hyperlinks>
    <hyperlink ref="A3" location="'Fact Sheet of VDC'!A1" display="&lt;&lt;Back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37"/>
    <pageSetUpPr fitToPage="1"/>
  </sheetPr>
  <dimension ref="A1:O27"/>
  <sheetViews>
    <sheetView zoomScale="115" workbookViewId="0">
      <selection activeCell="A2" sqref="A2:C2"/>
    </sheetView>
  </sheetViews>
  <sheetFormatPr defaultRowHeight="10.5"/>
  <cols>
    <col min="1" max="1" width="14.85546875" style="145" customWidth="1"/>
    <col min="2" max="2" width="10" style="145" customWidth="1"/>
    <col min="3" max="3" width="8.85546875" style="145" customWidth="1"/>
    <col min="4" max="4" width="9.5703125" style="145" customWidth="1"/>
    <col min="5" max="6" width="10.42578125" style="145" customWidth="1"/>
    <col min="7" max="7" width="7.140625" style="145" customWidth="1"/>
    <col min="8" max="8" width="9.140625" style="145"/>
    <col min="9" max="9" width="8.140625" style="145" customWidth="1"/>
    <col min="10" max="10" width="9.140625" style="145"/>
    <col min="11" max="11" width="7.5703125" style="145" customWidth="1"/>
    <col min="12" max="12" width="8.28515625" style="145" customWidth="1"/>
    <col min="13" max="13" width="7" style="145" customWidth="1"/>
    <col min="14" max="14" width="9.140625" style="145"/>
    <col min="15" max="15" width="7.28515625" style="145" bestFit="1" customWidth="1"/>
    <col min="16" max="256" width="9.140625" style="145"/>
    <col min="257" max="257" width="14.85546875" style="145" customWidth="1"/>
    <col min="258" max="258" width="10" style="145" customWidth="1"/>
    <col min="259" max="259" width="8.85546875" style="145" customWidth="1"/>
    <col min="260" max="260" width="9.5703125" style="145" customWidth="1"/>
    <col min="261" max="262" width="10.42578125" style="145" customWidth="1"/>
    <col min="263" max="263" width="7.140625" style="145" customWidth="1"/>
    <col min="264" max="264" width="9.140625" style="145"/>
    <col min="265" max="265" width="8.140625" style="145" customWidth="1"/>
    <col min="266" max="266" width="9.140625" style="145"/>
    <col min="267" max="267" width="7.5703125" style="145" customWidth="1"/>
    <col min="268" max="268" width="8.28515625" style="145" customWidth="1"/>
    <col min="269" max="269" width="7" style="145" customWidth="1"/>
    <col min="270" max="270" width="9.140625" style="145"/>
    <col min="271" max="271" width="7.28515625" style="145" bestFit="1" customWidth="1"/>
    <col min="272" max="512" width="9.140625" style="145"/>
    <col min="513" max="513" width="14.85546875" style="145" customWidth="1"/>
    <col min="514" max="514" width="10" style="145" customWidth="1"/>
    <col min="515" max="515" width="8.85546875" style="145" customWidth="1"/>
    <col min="516" max="516" width="9.5703125" style="145" customWidth="1"/>
    <col min="517" max="518" width="10.42578125" style="145" customWidth="1"/>
    <col min="519" max="519" width="7.140625" style="145" customWidth="1"/>
    <col min="520" max="520" width="9.140625" style="145"/>
    <col min="521" max="521" width="8.140625" style="145" customWidth="1"/>
    <col min="522" max="522" width="9.140625" style="145"/>
    <col min="523" max="523" width="7.5703125" style="145" customWidth="1"/>
    <col min="524" max="524" width="8.28515625" style="145" customWidth="1"/>
    <col min="525" max="525" width="7" style="145" customWidth="1"/>
    <col min="526" max="526" width="9.140625" style="145"/>
    <col min="527" max="527" width="7.28515625" style="145" bestFit="1" customWidth="1"/>
    <col min="528" max="768" width="9.140625" style="145"/>
    <col min="769" max="769" width="14.85546875" style="145" customWidth="1"/>
    <col min="770" max="770" width="10" style="145" customWidth="1"/>
    <col min="771" max="771" width="8.85546875" style="145" customWidth="1"/>
    <col min="772" max="772" width="9.5703125" style="145" customWidth="1"/>
    <col min="773" max="774" width="10.42578125" style="145" customWidth="1"/>
    <col min="775" max="775" width="7.140625" style="145" customWidth="1"/>
    <col min="776" max="776" width="9.140625" style="145"/>
    <col min="777" max="777" width="8.140625" style="145" customWidth="1"/>
    <col min="778" max="778" width="9.140625" style="145"/>
    <col min="779" max="779" width="7.5703125" style="145" customWidth="1"/>
    <col min="780" max="780" width="8.28515625" style="145" customWidth="1"/>
    <col min="781" max="781" width="7" style="145" customWidth="1"/>
    <col min="782" max="782" width="9.140625" style="145"/>
    <col min="783" max="783" width="7.28515625" style="145" bestFit="1" customWidth="1"/>
    <col min="784" max="1024" width="9.140625" style="145"/>
    <col min="1025" max="1025" width="14.85546875" style="145" customWidth="1"/>
    <col min="1026" max="1026" width="10" style="145" customWidth="1"/>
    <col min="1027" max="1027" width="8.85546875" style="145" customWidth="1"/>
    <col min="1028" max="1028" width="9.5703125" style="145" customWidth="1"/>
    <col min="1029" max="1030" width="10.42578125" style="145" customWidth="1"/>
    <col min="1031" max="1031" width="7.140625" style="145" customWidth="1"/>
    <col min="1032" max="1032" width="9.140625" style="145"/>
    <col min="1033" max="1033" width="8.140625" style="145" customWidth="1"/>
    <col min="1034" max="1034" width="9.140625" style="145"/>
    <col min="1035" max="1035" width="7.5703125" style="145" customWidth="1"/>
    <col min="1036" max="1036" width="8.28515625" style="145" customWidth="1"/>
    <col min="1037" max="1037" width="7" style="145" customWidth="1"/>
    <col min="1038" max="1038" width="9.140625" style="145"/>
    <col min="1039" max="1039" width="7.28515625" style="145" bestFit="1" customWidth="1"/>
    <col min="1040" max="1280" width="9.140625" style="145"/>
    <col min="1281" max="1281" width="14.85546875" style="145" customWidth="1"/>
    <col min="1282" max="1282" width="10" style="145" customWidth="1"/>
    <col min="1283" max="1283" width="8.85546875" style="145" customWidth="1"/>
    <col min="1284" max="1284" width="9.5703125" style="145" customWidth="1"/>
    <col min="1285" max="1286" width="10.42578125" style="145" customWidth="1"/>
    <col min="1287" max="1287" width="7.140625" style="145" customWidth="1"/>
    <col min="1288" max="1288" width="9.140625" style="145"/>
    <col min="1289" max="1289" width="8.140625" style="145" customWidth="1"/>
    <col min="1290" max="1290" width="9.140625" style="145"/>
    <col min="1291" max="1291" width="7.5703125" style="145" customWidth="1"/>
    <col min="1292" max="1292" width="8.28515625" style="145" customWidth="1"/>
    <col min="1293" max="1293" width="7" style="145" customWidth="1"/>
    <col min="1294" max="1294" width="9.140625" style="145"/>
    <col min="1295" max="1295" width="7.28515625" style="145" bestFit="1" customWidth="1"/>
    <col min="1296" max="1536" width="9.140625" style="145"/>
    <col min="1537" max="1537" width="14.85546875" style="145" customWidth="1"/>
    <col min="1538" max="1538" width="10" style="145" customWidth="1"/>
    <col min="1539" max="1539" width="8.85546875" style="145" customWidth="1"/>
    <col min="1540" max="1540" width="9.5703125" style="145" customWidth="1"/>
    <col min="1541" max="1542" width="10.42578125" style="145" customWidth="1"/>
    <col min="1543" max="1543" width="7.140625" style="145" customWidth="1"/>
    <col min="1544" max="1544" width="9.140625" style="145"/>
    <col min="1545" max="1545" width="8.140625" style="145" customWidth="1"/>
    <col min="1546" max="1546" width="9.140625" style="145"/>
    <col min="1547" max="1547" width="7.5703125" style="145" customWidth="1"/>
    <col min="1548" max="1548" width="8.28515625" style="145" customWidth="1"/>
    <col min="1549" max="1549" width="7" style="145" customWidth="1"/>
    <col min="1550" max="1550" width="9.140625" style="145"/>
    <col min="1551" max="1551" width="7.28515625" style="145" bestFit="1" customWidth="1"/>
    <col min="1552" max="1792" width="9.140625" style="145"/>
    <col min="1793" max="1793" width="14.85546875" style="145" customWidth="1"/>
    <col min="1794" max="1794" width="10" style="145" customWidth="1"/>
    <col min="1795" max="1795" width="8.85546875" style="145" customWidth="1"/>
    <col min="1796" max="1796" width="9.5703125" style="145" customWidth="1"/>
    <col min="1797" max="1798" width="10.42578125" style="145" customWidth="1"/>
    <col min="1799" max="1799" width="7.140625" style="145" customWidth="1"/>
    <col min="1800" max="1800" width="9.140625" style="145"/>
    <col min="1801" max="1801" width="8.140625" style="145" customWidth="1"/>
    <col min="1802" max="1802" width="9.140625" style="145"/>
    <col min="1803" max="1803" width="7.5703125" style="145" customWidth="1"/>
    <col min="1804" max="1804" width="8.28515625" style="145" customWidth="1"/>
    <col min="1805" max="1805" width="7" style="145" customWidth="1"/>
    <col min="1806" max="1806" width="9.140625" style="145"/>
    <col min="1807" max="1807" width="7.28515625" style="145" bestFit="1" customWidth="1"/>
    <col min="1808" max="2048" width="9.140625" style="145"/>
    <col min="2049" max="2049" width="14.85546875" style="145" customWidth="1"/>
    <col min="2050" max="2050" width="10" style="145" customWidth="1"/>
    <col min="2051" max="2051" width="8.85546875" style="145" customWidth="1"/>
    <col min="2052" max="2052" width="9.5703125" style="145" customWidth="1"/>
    <col min="2053" max="2054" width="10.42578125" style="145" customWidth="1"/>
    <col min="2055" max="2055" width="7.140625" style="145" customWidth="1"/>
    <col min="2056" max="2056" width="9.140625" style="145"/>
    <col min="2057" max="2057" width="8.140625" style="145" customWidth="1"/>
    <col min="2058" max="2058" width="9.140625" style="145"/>
    <col min="2059" max="2059" width="7.5703125" style="145" customWidth="1"/>
    <col min="2060" max="2060" width="8.28515625" style="145" customWidth="1"/>
    <col min="2061" max="2061" width="7" style="145" customWidth="1"/>
    <col min="2062" max="2062" width="9.140625" style="145"/>
    <col min="2063" max="2063" width="7.28515625" style="145" bestFit="1" customWidth="1"/>
    <col min="2064" max="2304" width="9.140625" style="145"/>
    <col min="2305" max="2305" width="14.85546875" style="145" customWidth="1"/>
    <col min="2306" max="2306" width="10" style="145" customWidth="1"/>
    <col min="2307" max="2307" width="8.85546875" style="145" customWidth="1"/>
    <col min="2308" max="2308" width="9.5703125" style="145" customWidth="1"/>
    <col min="2309" max="2310" width="10.42578125" style="145" customWidth="1"/>
    <col min="2311" max="2311" width="7.140625" style="145" customWidth="1"/>
    <col min="2312" max="2312" width="9.140625" style="145"/>
    <col min="2313" max="2313" width="8.140625" style="145" customWidth="1"/>
    <col min="2314" max="2314" width="9.140625" style="145"/>
    <col min="2315" max="2315" width="7.5703125" style="145" customWidth="1"/>
    <col min="2316" max="2316" width="8.28515625" style="145" customWidth="1"/>
    <col min="2317" max="2317" width="7" style="145" customWidth="1"/>
    <col min="2318" max="2318" width="9.140625" style="145"/>
    <col min="2319" max="2319" width="7.28515625" style="145" bestFit="1" customWidth="1"/>
    <col min="2320" max="2560" width="9.140625" style="145"/>
    <col min="2561" max="2561" width="14.85546875" style="145" customWidth="1"/>
    <col min="2562" max="2562" width="10" style="145" customWidth="1"/>
    <col min="2563" max="2563" width="8.85546875" style="145" customWidth="1"/>
    <col min="2564" max="2564" width="9.5703125" style="145" customWidth="1"/>
    <col min="2565" max="2566" width="10.42578125" style="145" customWidth="1"/>
    <col min="2567" max="2567" width="7.140625" style="145" customWidth="1"/>
    <col min="2568" max="2568" width="9.140625" style="145"/>
    <col min="2569" max="2569" width="8.140625" style="145" customWidth="1"/>
    <col min="2570" max="2570" width="9.140625" style="145"/>
    <col min="2571" max="2571" width="7.5703125" style="145" customWidth="1"/>
    <col min="2572" max="2572" width="8.28515625" style="145" customWidth="1"/>
    <col min="2573" max="2573" width="7" style="145" customWidth="1"/>
    <col min="2574" max="2574" width="9.140625" style="145"/>
    <col min="2575" max="2575" width="7.28515625" style="145" bestFit="1" customWidth="1"/>
    <col min="2576" max="2816" width="9.140625" style="145"/>
    <col min="2817" max="2817" width="14.85546875" style="145" customWidth="1"/>
    <col min="2818" max="2818" width="10" style="145" customWidth="1"/>
    <col min="2819" max="2819" width="8.85546875" style="145" customWidth="1"/>
    <col min="2820" max="2820" width="9.5703125" style="145" customWidth="1"/>
    <col min="2821" max="2822" width="10.42578125" style="145" customWidth="1"/>
    <col min="2823" max="2823" width="7.140625" style="145" customWidth="1"/>
    <col min="2824" max="2824" width="9.140625" style="145"/>
    <col min="2825" max="2825" width="8.140625" style="145" customWidth="1"/>
    <col min="2826" max="2826" width="9.140625" style="145"/>
    <col min="2827" max="2827" width="7.5703125" style="145" customWidth="1"/>
    <col min="2828" max="2828" width="8.28515625" style="145" customWidth="1"/>
    <col min="2829" max="2829" width="7" style="145" customWidth="1"/>
    <col min="2830" max="2830" width="9.140625" style="145"/>
    <col min="2831" max="2831" width="7.28515625" style="145" bestFit="1" customWidth="1"/>
    <col min="2832" max="3072" width="9.140625" style="145"/>
    <col min="3073" max="3073" width="14.85546875" style="145" customWidth="1"/>
    <col min="3074" max="3074" width="10" style="145" customWidth="1"/>
    <col min="3075" max="3075" width="8.85546875" style="145" customWidth="1"/>
    <col min="3076" max="3076" width="9.5703125" style="145" customWidth="1"/>
    <col min="3077" max="3078" width="10.42578125" style="145" customWidth="1"/>
    <col min="3079" max="3079" width="7.140625" style="145" customWidth="1"/>
    <col min="3080" max="3080" width="9.140625" style="145"/>
    <col min="3081" max="3081" width="8.140625" style="145" customWidth="1"/>
    <col min="3082" max="3082" width="9.140625" style="145"/>
    <col min="3083" max="3083" width="7.5703125" style="145" customWidth="1"/>
    <col min="3084" max="3084" width="8.28515625" style="145" customWidth="1"/>
    <col min="3085" max="3085" width="7" style="145" customWidth="1"/>
    <col min="3086" max="3086" width="9.140625" style="145"/>
    <col min="3087" max="3087" width="7.28515625" style="145" bestFit="1" customWidth="1"/>
    <col min="3088" max="3328" width="9.140625" style="145"/>
    <col min="3329" max="3329" width="14.85546875" style="145" customWidth="1"/>
    <col min="3330" max="3330" width="10" style="145" customWidth="1"/>
    <col min="3331" max="3331" width="8.85546875" style="145" customWidth="1"/>
    <col min="3332" max="3332" width="9.5703125" style="145" customWidth="1"/>
    <col min="3333" max="3334" width="10.42578125" style="145" customWidth="1"/>
    <col min="3335" max="3335" width="7.140625" style="145" customWidth="1"/>
    <col min="3336" max="3336" width="9.140625" style="145"/>
    <col min="3337" max="3337" width="8.140625" style="145" customWidth="1"/>
    <col min="3338" max="3338" width="9.140625" style="145"/>
    <col min="3339" max="3339" width="7.5703125" style="145" customWidth="1"/>
    <col min="3340" max="3340" width="8.28515625" style="145" customWidth="1"/>
    <col min="3341" max="3341" width="7" style="145" customWidth="1"/>
    <col min="3342" max="3342" width="9.140625" style="145"/>
    <col min="3343" max="3343" width="7.28515625" style="145" bestFit="1" customWidth="1"/>
    <col min="3344" max="3584" width="9.140625" style="145"/>
    <col min="3585" max="3585" width="14.85546875" style="145" customWidth="1"/>
    <col min="3586" max="3586" width="10" style="145" customWidth="1"/>
    <col min="3587" max="3587" width="8.85546875" style="145" customWidth="1"/>
    <col min="3588" max="3588" width="9.5703125" style="145" customWidth="1"/>
    <col min="3589" max="3590" width="10.42578125" style="145" customWidth="1"/>
    <col min="3591" max="3591" width="7.140625" style="145" customWidth="1"/>
    <col min="3592" max="3592" width="9.140625" style="145"/>
    <col min="3593" max="3593" width="8.140625" style="145" customWidth="1"/>
    <col min="3594" max="3594" width="9.140625" style="145"/>
    <col min="3595" max="3595" width="7.5703125" style="145" customWidth="1"/>
    <col min="3596" max="3596" width="8.28515625" style="145" customWidth="1"/>
    <col min="3597" max="3597" width="7" style="145" customWidth="1"/>
    <col min="3598" max="3598" width="9.140625" style="145"/>
    <col min="3599" max="3599" width="7.28515625" style="145" bestFit="1" customWidth="1"/>
    <col min="3600" max="3840" width="9.140625" style="145"/>
    <col min="3841" max="3841" width="14.85546875" style="145" customWidth="1"/>
    <col min="3842" max="3842" width="10" style="145" customWidth="1"/>
    <col min="3843" max="3843" width="8.85546875" style="145" customWidth="1"/>
    <col min="3844" max="3844" width="9.5703125" style="145" customWidth="1"/>
    <col min="3845" max="3846" width="10.42578125" style="145" customWidth="1"/>
    <col min="3847" max="3847" width="7.140625" style="145" customWidth="1"/>
    <col min="3848" max="3848" width="9.140625" style="145"/>
    <col min="3849" max="3849" width="8.140625" style="145" customWidth="1"/>
    <col min="3850" max="3850" width="9.140625" style="145"/>
    <col min="3851" max="3851" width="7.5703125" style="145" customWidth="1"/>
    <col min="3852" max="3852" width="8.28515625" style="145" customWidth="1"/>
    <col min="3853" max="3853" width="7" style="145" customWidth="1"/>
    <col min="3854" max="3854" width="9.140625" style="145"/>
    <col min="3855" max="3855" width="7.28515625" style="145" bestFit="1" customWidth="1"/>
    <col min="3856" max="4096" width="9.140625" style="145"/>
    <col min="4097" max="4097" width="14.85546875" style="145" customWidth="1"/>
    <col min="4098" max="4098" width="10" style="145" customWidth="1"/>
    <col min="4099" max="4099" width="8.85546875" style="145" customWidth="1"/>
    <col min="4100" max="4100" width="9.5703125" style="145" customWidth="1"/>
    <col min="4101" max="4102" width="10.42578125" style="145" customWidth="1"/>
    <col min="4103" max="4103" width="7.140625" style="145" customWidth="1"/>
    <col min="4104" max="4104" width="9.140625" style="145"/>
    <col min="4105" max="4105" width="8.140625" style="145" customWidth="1"/>
    <col min="4106" max="4106" width="9.140625" style="145"/>
    <col min="4107" max="4107" width="7.5703125" style="145" customWidth="1"/>
    <col min="4108" max="4108" width="8.28515625" style="145" customWidth="1"/>
    <col min="4109" max="4109" width="7" style="145" customWidth="1"/>
    <col min="4110" max="4110" width="9.140625" style="145"/>
    <col min="4111" max="4111" width="7.28515625" style="145" bestFit="1" customWidth="1"/>
    <col min="4112" max="4352" width="9.140625" style="145"/>
    <col min="4353" max="4353" width="14.85546875" style="145" customWidth="1"/>
    <col min="4354" max="4354" width="10" style="145" customWidth="1"/>
    <col min="4355" max="4355" width="8.85546875" style="145" customWidth="1"/>
    <col min="4356" max="4356" width="9.5703125" style="145" customWidth="1"/>
    <col min="4357" max="4358" width="10.42578125" style="145" customWidth="1"/>
    <col min="4359" max="4359" width="7.140625" style="145" customWidth="1"/>
    <col min="4360" max="4360" width="9.140625" style="145"/>
    <col min="4361" max="4361" width="8.140625" style="145" customWidth="1"/>
    <col min="4362" max="4362" width="9.140625" style="145"/>
    <col min="4363" max="4363" width="7.5703125" style="145" customWidth="1"/>
    <col min="4364" max="4364" width="8.28515625" style="145" customWidth="1"/>
    <col min="4365" max="4365" width="7" style="145" customWidth="1"/>
    <col min="4366" max="4366" width="9.140625" style="145"/>
    <col min="4367" max="4367" width="7.28515625" style="145" bestFit="1" customWidth="1"/>
    <col min="4368" max="4608" width="9.140625" style="145"/>
    <col min="4609" max="4609" width="14.85546875" style="145" customWidth="1"/>
    <col min="4610" max="4610" width="10" style="145" customWidth="1"/>
    <col min="4611" max="4611" width="8.85546875" style="145" customWidth="1"/>
    <col min="4612" max="4612" width="9.5703125" style="145" customWidth="1"/>
    <col min="4613" max="4614" width="10.42578125" style="145" customWidth="1"/>
    <col min="4615" max="4615" width="7.140625" style="145" customWidth="1"/>
    <col min="4616" max="4616" width="9.140625" style="145"/>
    <col min="4617" max="4617" width="8.140625" style="145" customWidth="1"/>
    <col min="4618" max="4618" width="9.140625" style="145"/>
    <col min="4619" max="4619" width="7.5703125" style="145" customWidth="1"/>
    <col min="4620" max="4620" width="8.28515625" style="145" customWidth="1"/>
    <col min="4621" max="4621" width="7" style="145" customWidth="1"/>
    <col min="4622" max="4622" width="9.140625" style="145"/>
    <col min="4623" max="4623" width="7.28515625" style="145" bestFit="1" customWidth="1"/>
    <col min="4624" max="4864" width="9.140625" style="145"/>
    <col min="4865" max="4865" width="14.85546875" style="145" customWidth="1"/>
    <col min="4866" max="4866" width="10" style="145" customWidth="1"/>
    <col min="4867" max="4867" width="8.85546875" style="145" customWidth="1"/>
    <col min="4868" max="4868" width="9.5703125" style="145" customWidth="1"/>
    <col min="4869" max="4870" width="10.42578125" style="145" customWidth="1"/>
    <col min="4871" max="4871" width="7.140625" style="145" customWidth="1"/>
    <col min="4872" max="4872" width="9.140625" style="145"/>
    <col min="4873" max="4873" width="8.140625" style="145" customWidth="1"/>
    <col min="4874" max="4874" width="9.140625" style="145"/>
    <col min="4875" max="4875" width="7.5703125" style="145" customWidth="1"/>
    <col min="4876" max="4876" width="8.28515625" style="145" customWidth="1"/>
    <col min="4877" max="4877" width="7" style="145" customWidth="1"/>
    <col min="4878" max="4878" width="9.140625" style="145"/>
    <col min="4879" max="4879" width="7.28515625" style="145" bestFit="1" customWidth="1"/>
    <col min="4880" max="5120" width="9.140625" style="145"/>
    <col min="5121" max="5121" width="14.85546875" style="145" customWidth="1"/>
    <col min="5122" max="5122" width="10" style="145" customWidth="1"/>
    <col min="5123" max="5123" width="8.85546875" style="145" customWidth="1"/>
    <col min="5124" max="5124" width="9.5703125" style="145" customWidth="1"/>
    <col min="5125" max="5126" width="10.42578125" style="145" customWidth="1"/>
    <col min="5127" max="5127" width="7.140625" style="145" customWidth="1"/>
    <col min="5128" max="5128" width="9.140625" style="145"/>
    <col min="5129" max="5129" width="8.140625" style="145" customWidth="1"/>
    <col min="5130" max="5130" width="9.140625" style="145"/>
    <col min="5131" max="5131" width="7.5703125" style="145" customWidth="1"/>
    <col min="5132" max="5132" width="8.28515625" style="145" customWidth="1"/>
    <col min="5133" max="5133" width="7" style="145" customWidth="1"/>
    <col min="5134" max="5134" width="9.140625" style="145"/>
    <col min="5135" max="5135" width="7.28515625" style="145" bestFit="1" customWidth="1"/>
    <col min="5136" max="5376" width="9.140625" style="145"/>
    <col min="5377" max="5377" width="14.85546875" style="145" customWidth="1"/>
    <col min="5378" max="5378" width="10" style="145" customWidth="1"/>
    <col min="5379" max="5379" width="8.85546875" style="145" customWidth="1"/>
    <col min="5380" max="5380" width="9.5703125" style="145" customWidth="1"/>
    <col min="5381" max="5382" width="10.42578125" style="145" customWidth="1"/>
    <col min="5383" max="5383" width="7.140625" style="145" customWidth="1"/>
    <col min="5384" max="5384" width="9.140625" style="145"/>
    <col min="5385" max="5385" width="8.140625" style="145" customWidth="1"/>
    <col min="5386" max="5386" width="9.140625" style="145"/>
    <col min="5387" max="5387" width="7.5703125" style="145" customWidth="1"/>
    <col min="5388" max="5388" width="8.28515625" style="145" customWidth="1"/>
    <col min="5389" max="5389" width="7" style="145" customWidth="1"/>
    <col min="5390" max="5390" width="9.140625" style="145"/>
    <col min="5391" max="5391" width="7.28515625" style="145" bestFit="1" customWidth="1"/>
    <col min="5392" max="5632" width="9.140625" style="145"/>
    <col min="5633" max="5633" width="14.85546875" style="145" customWidth="1"/>
    <col min="5634" max="5634" width="10" style="145" customWidth="1"/>
    <col min="5635" max="5635" width="8.85546875" style="145" customWidth="1"/>
    <col min="5636" max="5636" width="9.5703125" style="145" customWidth="1"/>
    <col min="5637" max="5638" width="10.42578125" style="145" customWidth="1"/>
    <col min="5639" max="5639" width="7.140625" style="145" customWidth="1"/>
    <col min="5640" max="5640" width="9.140625" style="145"/>
    <col min="5641" max="5641" width="8.140625" style="145" customWidth="1"/>
    <col min="5642" max="5642" width="9.140625" style="145"/>
    <col min="5643" max="5643" width="7.5703125" style="145" customWidth="1"/>
    <col min="5644" max="5644" width="8.28515625" style="145" customWidth="1"/>
    <col min="5645" max="5645" width="7" style="145" customWidth="1"/>
    <col min="5646" max="5646" width="9.140625" style="145"/>
    <col min="5647" max="5647" width="7.28515625" style="145" bestFit="1" customWidth="1"/>
    <col min="5648" max="5888" width="9.140625" style="145"/>
    <col min="5889" max="5889" width="14.85546875" style="145" customWidth="1"/>
    <col min="5890" max="5890" width="10" style="145" customWidth="1"/>
    <col min="5891" max="5891" width="8.85546875" style="145" customWidth="1"/>
    <col min="5892" max="5892" width="9.5703125" style="145" customWidth="1"/>
    <col min="5893" max="5894" width="10.42578125" style="145" customWidth="1"/>
    <col min="5895" max="5895" width="7.140625" style="145" customWidth="1"/>
    <col min="5896" max="5896" width="9.140625" style="145"/>
    <col min="5897" max="5897" width="8.140625" style="145" customWidth="1"/>
    <col min="5898" max="5898" width="9.140625" style="145"/>
    <col min="5899" max="5899" width="7.5703125" style="145" customWidth="1"/>
    <col min="5900" max="5900" width="8.28515625" style="145" customWidth="1"/>
    <col min="5901" max="5901" width="7" style="145" customWidth="1"/>
    <col min="5902" max="5902" width="9.140625" style="145"/>
    <col min="5903" max="5903" width="7.28515625" style="145" bestFit="1" customWidth="1"/>
    <col min="5904" max="6144" width="9.140625" style="145"/>
    <col min="6145" max="6145" width="14.85546875" style="145" customWidth="1"/>
    <col min="6146" max="6146" width="10" style="145" customWidth="1"/>
    <col min="6147" max="6147" width="8.85546875" style="145" customWidth="1"/>
    <col min="6148" max="6148" width="9.5703125" style="145" customWidth="1"/>
    <col min="6149" max="6150" width="10.42578125" style="145" customWidth="1"/>
    <col min="6151" max="6151" width="7.140625" style="145" customWidth="1"/>
    <col min="6152" max="6152" width="9.140625" style="145"/>
    <col min="6153" max="6153" width="8.140625" style="145" customWidth="1"/>
    <col min="6154" max="6154" width="9.140625" style="145"/>
    <col min="6155" max="6155" width="7.5703125" style="145" customWidth="1"/>
    <col min="6156" max="6156" width="8.28515625" style="145" customWidth="1"/>
    <col min="6157" max="6157" width="7" style="145" customWidth="1"/>
    <col min="6158" max="6158" width="9.140625" style="145"/>
    <col min="6159" max="6159" width="7.28515625" style="145" bestFit="1" customWidth="1"/>
    <col min="6160" max="6400" width="9.140625" style="145"/>
    <col min="6401" max="6401" width="14.85546875" style="145" customWidth="1"/>
    <col min="6402" max="6402" width="10" style="145" customWidth="1"/>
    <col min="6403" max="6403" width="8.85546875" style="145" customWidth="1"/>
    <col min="6404" max="6404" width="9.5703125" style="145" customWidth="1"/>
    <col min="6405" max="6406" width="10.42578125" style="145" customWidth="1"/>
    <col min="6407" max="6407" width="7.140625" style="145" customWidth="1"/>
    <col min="6408" max="6408" width="9.140625" style="145"/>
    <col min="6409" max="6409" width="8.140625" style="145" customWidth="1"/>
    <col min="6410" max="6410" width="9.140625" style="145"/>
    <col min="6411" max="6411" width="7.5703125" style="145" customWidth="1"/>
    <col min="6412" max="6412" width="8.28515625" style="145" customWidth="1"/>
    <col min="6413" max="6413" width="7" style="145" customWidth="1"/>
    <col min="6414" max="6414" width="9.140625" style="145"/>
    <col min="6415" max="6415" width="7.28515625" style="145" bestFit="1" customWidth="1"/>
    <col min="6416" max="6656" width="9.140625" style="145"/>
    <col min="6657" max="6657" width="14.85546875" style="145" customWidth="1"/>
    <col min="6658" max="6658" width="10" style="145" customWidth="1"/>
    <col min="6659" max="6659" width="8.85546875" style="145" customWidth="1"/>
    <col min="6660" max="6660" width="9.5703125" style="145" customWidth="1"/>
    <col min="6661" max="6662" width="10.42578125" style="145" customWidth="1"/>
    <col min="6663" max="6663" width="7.140625" style="145" customWidth="1"/>
    <col min="6664" max="6664" width="9.140625" style="145"/>
    <col min="6665" max="6665" width="8.140625" style="145" customWidth="1"/>
    <col min="6666" max="6666" width="9.140625" style="145"/>
    <col min="6667" max="6667" width="7.5703125" style="145" customWidth="1"/>
    <col min="6668" max="6668" width="8.28515625" style="145" customWidth="1"/>
    <col min="6669" max="6669" width="7" style="145" customWidth="1"/>
    <col min="6670" max="6670" width="9.140625" style="145"/>
    <col min="6671" max="6671" width="7.28515625" style="145" bestFit="1" customWidth="1"/>
    <col min="6672" max="6912" width="9.140625" style="145"/>
    <col min="6913" max="6913" width="14.85546875" style="145" customWidth="1"/>
    <col min="6914" max="6914" width="10" style="145" customWidth="1"/>
    <col min="6915" max="6915" width="8.85546875" style="145" customWidth="1"/>
    <col min="6916" max="6916" width="9.5703125" style="145" customWidth="1"/>
    <col min="6917" max="6918" width="10.42578125" style="145" customWidth="1"/>
    <col min="6919" max="6919" width="7.140625" style="145" customWidth="1"/>
    <col min="6920" max="6920" width="9.140625" style="145"/>
    <col min="6921" max="6921" width="8.140625" style="145" customWidth="1"/>
    <col min="6922" max="6922" width="9.140625" style="145"/>
    <col min="6923" max="6923" width="7.5703125" style="145" customWidth="1"/>
    <col min="6924" max="6924" width="8.28515625" style="145" customWidth="1"/>
    <col min="6925" max="6925" width="7" style="145" customWidth="1"/>
    <col min="6926" max="6926" width="9.140625" style="145"/>
    <col min="6927" max="6927" width="7.28515625" style="145" bestFit="1" customWidth="1"/>
    <col min="6928" max="7168" width="9.140625" style="145"/>
    <col min="7169" max="7169" width="14.85546875" style="145" customWidth="1"/>
    <col min="7170" max="7170" width="10" style="145" customWidth="1"/>
    <col min="7171" max="7171" width="8.85546875" style="145" customWidth="1"/>
    <col min="7172" max="7172" width="9.5703125" style="145" customWidth="1"/>
    <col min="7173" max="7174" width="10.42578125" style="145" customWidth="1"/>
    <col min="7175" max="7175" width="7.140625" style="145" customWidth="1"/>
    <col min="7176" max="7176" width="9.140625" style="145"/>
    <col min="7177" max="7177" width="8.140625" style="145" customWidth="1"/>
    <col min="7178" max="7178" width="9.140625" style="145"/>
    <col min="7179" max="7179" width="7.5703125" style="145" customWidth="1"/>
    <col min="7180" max="7180" width="8.28515625" style="145" customWidth="1"/>
    <col min="7181" max="7181" width="7" style="145" customWidth="1"/>
    <col min="7182" max="7182" width="9.140625" style="145"/>
    <col min="7183" max="7183" width="7.28515625" style="145" bestFit="1" customWidth="1"/>
    <col min="7184" max="7424" width="9.140625" style="145"/>
    <col min="7425" max="7425" width="14.85546875" style="145" customWidth="1"/>
    <col min="7426" max="7426" width="10" style="145" customWidth="1"/>
    <col min="7427" max="7427" width="8.85546875" style="145" customWidth="1"/>
    <col min="7428" max="7428" width="9.5703125" style="145" customWidth="1"/>
    <col min="7429" max="7430" width="10.42578125" style="145" customWidth="1"/>
    <col min="7431" max="7431" width="7.140625" style="145" customWidth="1"/>
    <col min="7432" max="7432" width="9.140625" style="145"/>
    <col min="7433" max="7433" width="8.140625" style="145" customWidth="1"/>
    <col min="7434" max="7434" width="9.140625" style="145"/>
    <col min="7435" max="7435" width="7.5703125" style="145" customWidth="1"/>
    <col min="7436" max="7436" width="8.28515625" style="145" customWidth="1"/>
    <col min="7437" max="7437" width="7" style="145" customWidth="1"/>
    <col min="7438" max="7438" width="9.140625" style="145"/>
    <col min="7439" max="7439" width="7.28515625" style="145" bestFit="1" customWidth="1"/>
    <col min="7440" max="7680" width="9.140625" style="145"/>
    <col min="7681" max="7681" width="14.85546875" style="145" customWidth="1"/>
    <col min="7682" max="7682" width="10" style="145" customWidth="1"/>
    <col min="7683" max="7683" width="8.85546875" style="145" customWidth="1"/>
    <col min="7684" max="7684" width="9.5703125" style="145" customWidth="1"/>
    <col min="7685" max="7686" width="10.42578125" style="145" customWidth="1"/>
    <col min="7687" max="7687" width="7.140625" style="145" customWidth="1"/>
    <col min="7688" max="7688" width="9.140625" style="145"/>
    <col min="7689" max="7689" width="8.140625" style="145" customWidth="1"/>
    <col min="7690" max="7690" width="9.140625" style="145"/>
    <col min="7691" max="7691" width="7.5703125" style="145" customWidth="1"/>
    <col min="7692" max="7692" width="8.28515625" style="145" customWidth="1"/>
    <col min="7693" max="7693" width="7" style="145" customWidth="1"/>
    <col min="7694" max="7694" width="9.140625" style="145"/>
    <col min="7695" max="7695" width="7.28515625" style="145" bestFit="1" customWidth="1"/>
    <col min="7696" max="7936" width="9.140625" style="145"/>
    <col min="7937" max="7937" width="14.85546875" style="145" customWidth="1"/>
    <col min="7938" max="7938" width="10" style="145" customWidth="1"/>
    <col min="7939" max="7939" width="8.85546875" style="145" customWidth="1"/>
    <col min="7940" max="7940" width="9.5703125" style="145" customWidth="1"/>
    <col min="7941" max="7942" width="10.42578125" style="145" customWidth="1"/>
    <col min="7943" max="7943" width="7.140625" style="145" customWidth="1"/>
    <col min="7944" max="7944" width="9.140625" style="145"/>
    <col min="7945" max="7945" width="8.140625" style="145" customWidth="1"/>
    <col min="7946" max="7946" width="9.140625" style="145"/>
    <col min="7947" max="7947" width="7.5703125" style="145" customWidth="1"/>
    <col min="7948" max="7948" width="8.28515625" style="145" customWidth="1"/>
    <col min="7949" max="7949" width="7" style="145" customWidth="1"/>
    <col min="7950" max="7950" width="9.140625" style="145"/>
    <col min="7951" max="7951" width="7.28515625" style="145" bestFit="1" customWidth="1"/>
    <col min="7952" max="8192" width="9.140625" style="145"/>
    <col min="8193" max="8193" width="14.85546875" style="145" customWidth="1"/>
    <col min="8194" max="8194" width="10" style="145" customWidth="1"/>
    <col min="8195" max="8195" width="8.85546875" style="145" customWidth="1"/>
    <col min="8196" max="8196" width="9.5703125" style="145" customWidth="1"/>
    <col min="8197" max="8198" width="10.42578125" style="145" customWidth="1"/>
    <col min="8199" max="8199" width="7.140625" style="145" customWidth="1"/>
    <col min="8200" max="8200" width="9.140625" style="145"/>
    <col min="8201" max="8201" width="8.140625" style="145" customWidth="1"/>
    <col min="8202" max="8202" width="9.140625" style="145"/>
    <col min="8203" max="8203" width="7.5703125" style="145" customWidth="1"/>
    <col min="8204" max="8204" width="8.28515625" style="145" customWidth="1"/>
    <col min="8205" max="8205" width="7" style="145" customWidth="1"/>
    <col min="8206" max="8206" width="9.140625" style="145"/>
    <col min="8207" max="8207" width="7.28515625" style="145" bestFit="1" customWidth="1"/>
    <col min="8208" max="8448" width="9.140625" style="145"/>
    <col min="8449" max="8449" width="14.85546875" style="145" customWidth="1"/>
    <col min="8450" max="8450" width="10" style="145" customWidth="1"/>
    <col min="8451" max="8451" width="8.85546875" style="145" customWidth="1"/>
    <col min="8452" max="8452" width="9.5703125" style="145" customWidth="1"/>
    <col min="8453" max="8454" width="10.42578125" style="145" customWidth="1"/>
    <col min="8455" max="8455" width="7.140625" style="145" customWidth="1"/>
    <col min="8456" max="8456" width="9.140625" style="145"/>
    <col min="8457" max="8457" width="8.140625" style="145" customWidth="1"/>
    <col min="8458" max="8458" width="9.140625" style="145"/>
    <col min="8459" max="8459" width="7.5703125" style="145" customWidth="1"/>
    <col min="8460" max="8460" width="8.28515625" style="145" customWidth="1"/>
    <col min="8461" max="8461" width="7" style="145" customWidth="1"/>
    <col min="8462" max="8462" width="9.140625" style="145"/>
    <col min="8463" max="8463" width="7.28515625" style="145" bestFit="1" customWidth="1"/>
    <col min="8464" max="8704" width="9.140625" style="145"/>
    <col min="8705" max="8705" width="14.85546875" style="145" customWidth="1"/>
    <col min="8706" max="8706" width="10" style="145" customWidth="1"/>
    <col min="8707" max="8707" width="8.85546875" style="145" customWidth="1"/>
    <col min="8708" max="8708" width="9.5703125" style="145" customWidth="1"/>
    <col min="8709" max="8710" width="10.42578125" style="145" customWidth="1"/>
    <col min="8711" max="8711" width="7.140625" style="145" customWidth="1"/>
    <col min="8712" max="8712" width="9.140625" style="145"/>
    <col min="8713" max="8713" width="8.140625" style="145" customWidth="1"/>
    <col min="8714" max="8714" width="9.140625" style="145"/>
    <col min="8715" max="8715" width="7.5703125" style="145" customWidth="1"/>
    <col min="8716" max="8716" width="8.28515625" style="145" customWidth="1"/>
    <col min="8717" max="8717" width="7" style="145" customWidth="1"/>
    <col min="8718" max="8718" width="9.140625" style="145"/>
    <col min="8719" max="8719" width="7.28515625" style="145" bestFit="1" customWidth="1"/>
    <col min="8720" max="8960" width="9.140625" style="145"/>
    <col min="8961" max="8961" width="14.85546875" style="145" customWidth="1"/>
    <col min="8962" max="8962" width="10" style="145" customWidth="1"/>
    <col min="8963" max="8963" width="8.85546875" style="145" customWidth="1"/>
    <col min="8964" max="8964" width="9.5703125" style="145" customWidth="1"/>
    <col min="8965" max="8966" width="10.42578125" style="145" customWidth="1"/>
    <col min="8967" max="8967" width="7.140625" style="145" customWidth="1"/>
    <col min="8968" max="8968" width="9.140625" style="145"/>
    <col min="8969" max="8969" width="8.140625" style="145" customWidth="1"/>
    <col min="8970" max="8970" width="9.140625" style="145"/>
    <col min="8971" max="8971" width="7.5703125" style="145" customWidth="1"/>
    <col min="8972" max="8972" width="8.28515625" style="145" customWidth="1"/>
    <col min="8973" max="8973" width="7" style="145" customWidth="1"/>
    <col min="8974" max="8974" width="9.140625" style="145"/>
    <col min="8975" max="8975" width="7.28515625" style="145" bestFit="1" customWidth="1"/>
    <col min="8976" max="9216" width="9.140625" style="145"/>
    <col min="9217" max="9217" width="14.85546875" style="145" customWidth="1"/>
    <col min="9218" max="9218" width="10" style="145" customWidth="1"/>
    <col min="9219" max="9219" width="8.85546875" style="145" customWidth="1"/>
    <col min="9220" max="9220" width="9.5703125" style="145" customWidth="1"/>
    <col min="9221" max="9222" width="10.42578125" style="145" customWidth="1"/>
    <col min="9223" max="9223" width="7.140625" style="145" customWidth="1"/>
    <col min="9224" max="9224" width="9.140625" style="145"/>
    <col min="9225" max="9225" width="8.140625" style="145" customWidth="1"/>
    <col min="9226" max="9226" width="9.140625" style="145"/>
    <col min="9227" max="9227" width="7.5703125" style="145" customWidth="1"/>
    <col min="9228" max="9228" width="8.28515625" style="145" customWidth="1"/>
    <col min="9229" max="9229" width="7" style="145" customWidth="1"/>
    <col min="9230" max="9230" width="9.140625" style="145"/>
    <col min="9231" max="9231" width="7.28515625" style="145" bestFit="1" customWidth="1"/>
    <col min="9232" max="9472" width="9.140625" style="145"/>
    <col min="9473" max="9473" width="14.85546875" style="145" customWidth="1"/>
    <col min="9474" max="9474" width="10" style="145" customWidth="1"/>
    <col min="9475" max="9475" width="8.85546875" style="145" customWidth="1"/>
    <col min="9476" max="9476" width="9.5703125" style="145" customWidth="1"/>
    <col min="9477" max="9478" width="10.42578125" style="145" customWidth="1"/>
    <col min="9479" max="9479" width="7.140625" style="145" customWidth="1"/>
    <col min="9480" max="9480" width="9.140625" style="145"/>
    <col min="9481" max="9481" width="8.140625" style="145" customWidth="1"/>
    <col min="9482" max="9482" width="9.140625" style="145"/>
    <col min="9483" max="9483" width="7.5703125" style="145" customWidth="1"/>
    <col min="9484" max="9484" width="8.28515625" style="145" customWidth="1"/>
    <col min="9485" max="9485" width="7" style="145" customWidth="1"/>
    <col min="9486" max="9486" width="9.140625" style="145"/>
    <col min="9487" max="9487" width="7.28515625" style="145" bestFit="1" customWidth="1"/>
    <col min="9488" max="9728" width="9.140625" style="145"/>
    <col min="9729" max="9729" width="14.85546875" style="145" customWidth="1"/>
    <col min="9730" max="9730" width="10" style="145" customWidth="1"/>
    <col min="9731" max="9731" width="8.85546875" style="145" customWidth="1"/>
    <col min="9732" max="9732" width="9.5703125" style="145" customWidth="1"/>
    <col min="9733" max="9734" width="10.42578125" style="145" customWidth="1"/>
    <col min="9735" max="9735" width="7.140625" style="145" customWidth="1"/>
    <col min="9736" max="9736" width="9.140625" style="145"/>
    <col min="9737" max="9737" width="8.140625" style="145" customWidth="1"/>
    <col min="9738" max="9738" width="9.140625" style="145"/>
    <col min="9739" max="9739" width="7.5703125" style="145" customWidth="1"/>
    <col min="9740" max="9740" width="8.28515625" style="145" customWidth="1"/>
    <col min="9741" max="9741" width="7" style="145" customWidth="1"/>
    <col min="9742" max="9742" width="9.140625" style="145"/>
    <col min="9743" max="9743" width="7.28515625" style="145" bestFit="1" customWidth="1"/>
    <col min="9744" max="9984" width="9.140625" style="145"/>
    <col min="9985" max="9985" width="14.85546875" style="145" customWidth="1"/>
    <col min="9986" max="9986" width="10" style="145" customWidth="1"/>
    <col min="9987" max="9987" width="8.85546875" style="145" customWidth="1"/>
    <col min="9988" max="9988" width="9.5703125" style="145" customWidth="1"/>
    <col min="9989" max="9990" width="10.42578125" style="145" customWidth="1"/>
    <col min="9991" max="9991" width="7.140625" style="145" customWidth="1"/>
    <col min="9992" max="9992" width="9.140625" style="145"/>
    <col min="9993" max="9993" width="8.140625" style="145" customWidth="1"/>
    <col min="9994" max="9994" width="9.140625" style="145"/>
    <col min="9995" max="9995" width="7.5703125" style="145" customWidth="1"/>
    <col min="9996" max="9996" width="8.28515625" style="145" customWidth="1"/>
    <col min="9997" max="9997" width="7" style="145" customWidth="1"/>
    <col min="9998" max="9998" width="9.140625" style="145"/>
    <col min="9999" max="9999" width="7.28515625" style="145" bestFit="1" customWidth="1"/>
    <col min="10000" max="10240" width="9.140625" style="145"/>
    <col min="10241" max="10241" width="14.85546875" style="145" customWidth="1"/>
    <col min="10242" max="10242" width="10" style="145" customWidth="1"/>
    <col min="10243" max="10243" width="8.85546875" style="145" customWidth="1"/>
    <col min="10244" max="10244" width="9.5703125" style="145" customWidth="1"/>
    <col min="10245" max="10246" width="10.42578125" style="145" customWidth="1"/>
    <col min="10247" max="10247" width="7.140625" style="145" customWidth="1"/>
    <col min="10248" max="10248" width="9.140625" style="145"/>
    <col min="10249" max="10249" width="8.140625" style="145" customWidth="1"/>
    <col min="10250" max="10250" width="9.140625" style="145"/>
    <col min="10251" max="10251" width="7.5703125" style="145" customWidth="1"/>
    <col min="10252" max="10252" width="8.28515625" style="145" customWidth="1"/>
    <col min="10253" max="10253" width="7" style="145" customWidth="1"/>
    <col min="10254" max="10254" width="9.140625" style="145"/>
    <col min="10255" max="10255" width="7.28515625" style="145" bestFit="1" customWidth="1"/>
    <col min="10256" max="10496" width="9.140625" style="145"/>
    <col min="10497" max="10497" width="14.85546875" style="145" customWidth="1"/>
    <col min="10498" max="10498" width="10" style="145" customWidth="1"/>
    <col min="10499" max="10499" width="8.85546875" style="145" customWidth="1"/>
    <col min="10500" max="10500" width="9.5703125" style="145" customWidth="1"/>
    <col min="10501" max="10502" width="10.42578125" style="145" customWidth="1"/>
    <col min="10503" max="10503" width="7.140625" style="145" customWidth="1"/>
    <col min="10504" max="10504" width="9.140625" style="145"/>
    <col min="10505" max="10505" width="8.140625" style="145" customWidth="1"/>
    <col min="10506" max="10506" width="9.140625" style="145"/>
    <col min="10507" max="10507" width="7.5703125" style="145" customWidth="1"/>
    <col min="10508" max="10508" width="8.28515625" style="145" customWidth="1"/>
    <col min="10509" max="10509" width="7" style="145" customWidth="1"/>
    <col min="10510" max="10510" width="9.140625" style="145"/>
    <col min="10511" max="10511" width="7.28515625" style="145" bestFit="1" customWidth="1"/>
    <col min="10512" max="10752" width="9.140625" style="145"/>
    <col min="10753" max="10753" width="14.85546875" style="145" customWidth="1"/>
    <col min="10754" max="10754" width="10" style="145" customWidth="1"/>
    <col min="10755" max="10755" width="8.85546875" style="145" customWidth="1"/>
    <col min="10756" max="10756" width="9.5703125" style="145" customWidth="1"/>
    <col min="10757" max="10758" width="10.42578125" style="145" customWidth="1"/>
    <col min="10759" max="10759" width="7.140625" style="145" customWidth="1"/>
    <col min="10760" max="10760" width="9.140625" style="145"/>
    <col min="10761" max="10761" width="8.140625" style="145" customWidth="1"/>
    <col min="10762" max="10762" width="9.140625" style="145"/>
    <col min="10763" max="10763" width="7.5703125" style="145" customWidth="1"/>
    <col min="10764" max="10764" width="8.28515625" style="145" customWidth="1"/>
    <col min="10765" max="10765" width="7" style="145" customWidth="1"/>
    <col min="10766" max="10766" width="9.140625" style="145"/>
    <col min="10767" max="10767" width="7.28515625" style="145" bestFit="1" customWidth="1"/>
    <col min="10768" max="11008" width="9.140625" style="145"/>
    <col min="11009" max="11009" width="14.85546875" style="145" customWidth="1"/>
    <col min="11010" max="11010" width="10" style="145" customWidth="1"/>
    <col min="11011" max="11011" width="8.85546875" style="145" customWidth="1"/>
    <col min="11012" max="11012" width="9.5703125" style="145" customWidth="1"/>
    <col min="11013" max="11014" width="10.42578125" style="145" customWidth="1"/>
    <col min="11015" max="11015" width="7.140625" style="145" customWidth="1"/>
    <col min="11016" max="11016" width="9.140625" style="145"/>
    <col min="11017" max="11017" width="8.140625" style="145" customWidth="1"/>
    <col min="11018" max="11018" width="9.140625" style="145"/>
    <col min="11019" max="11019" width="7.5703125" style="145" customWidth="1"/>
    <col min="11020" max="11020" width="8.28515625" style="145" customWidth="1"/>
    <col min="11021" max="11021" width="7" style="145" customWidth="1"/>
    <col min="11022" max="11022" width="9.140625" style="145"/>
    <col min="11023" max="11023" width="7.28515625" style="145" bestFit="1" customWidth="1"/>
    <col min="11024" max="11264" width="9.140625" style="145"/>
    <col min="11265" max="11265" width="14.85546875" style="145" customWidth="1"/>
    <col min="11266" max="11266" width="10" style="145" customWidth="1"/>
    <col min="11267" max="11267" width="8.85546875" style="145" customWidth="1"/>
    <col min="11268" max="11268" width="9.5703125" style="145" customWidth="1"/>
    <col min="11269" max="11270" width="10.42578125" style="145" customWidth="1"/>
    <col min="11271" max="11271" width="7.140625" style="145" customWidth="1"/>
    <col min="11272" max="11272" width="9.140625" style="145"/>
    <col min="11273" max="11273" width="8.140625" style="145" customWidth="1"/>
    <col min="11274" max="11274" width="9.140625" style="145"/>
    <col min="11275" max="11275" width="7.5703125" style="145" customWidth="1"/>
    <col min="11276" max="11276" width="8.28515625" style="145" customWidth="1"/>
    <col min="11277" max="11277" width="7" style="145" customWidth="1"/>
    <col min="11278" max="11278" width="9.140625" style="145"/>
    <col min="11279" max="11279" width="7.28515625" style="145" bestFit="1" customWidth="1"/>
    <col min="11280" max="11520" width="9.140625" style="145"/>
    <col min="11521" max="11521" width="14.85546875" style="145" customWidth="1"/>
    <col min="11522" max="11522" width="10" style="145" customWidth="1"/>
    <col min="11523" max="11523" width="8.85546875" style="145" customWidth="1"/>
    <col min="11524" max="11524" width="9.5703125" style="145" customWidth="1"/>
    <col min="11525" max="11526" width="10.42578125" style="145" customWidth="1"/>
    <col min="11527" max="11527" width="7.140625" style="145" customWidth="1"/>
    <col min="11528" max="11528" width="9.140625" style="145"/>
    <col min="11529" max="11529" width="8.140625" style="145" customWidth="1"/>
    <col min="11530" max="11530" width="9.140625" style="145"/>
    <col min="11531" max="11531" width="7.5703125" style="145" customWidth="1"/>
    <col min="11532" max="11532" width="8.28515625" style="145" customWidth="1"/>
    <col min="11533" max="11533" width="7" style="145" customWidth="1"/>
    <col min="11534" max="11534" width="9.140625" style="145"/>
    <col min="11535" max="11535" width="7.28515625" style="145" bestFit="1" customWidth="1"/>
    <col min="11536" max="11776" width="9.140625" style="145"/>
    <col min="11777" max="11777" width="14.85546875" style="145" customWidth="1"/>
    <col min="11778" max="11778" width="10" style="145" customWidth="1"/>
    <col min="11779" max="11779" width="8.85546875" style="145" customWidth="1"/>
    <col min="11780" max="11780" width="9.5703125" style="145" customWidth="1"/>
    <col min="11781" max="11782" width="10.42578125" style="145" customWidth="1"/>
    <col min="11783" max="11783" width="7.140625" style="145" customWidth="1"/>
    <col min="11784" max="11784" width="9.140625" style="145"/>
    <col min="11785" max="11785" width="8.140625" style="145" customWidth="1"/>
    <col min="11786" max="11786" width="9.140625" style="145"/>
    <col min="11787" max="11787" width="7.5703125" style="145" customWidth="1"/>
    <col min="11788" max="11788" width="8.28515625" style="145" customWidth="1"/>
    <col min="11789" max="11789" width="7" style="145" customWidth="1"/>
    <col min="11790" max="11790" width="9.140625" style="145"/>
    <col min="11791" max="11791" width="7.28515625" style="145" bestFit="1" customWidth="1"/>
    <col min="11792" max="12032" width="9.140625" style="145"/>
    <col min="12033" max="12033" width="14.85546875" style="145" customWidth="1"/>
    <col min="12034" max="12034" width="10" style="145" customWidth="1"/>
    <col min="12035" max="12035" width="8.85546875" style="145" customWidth="1"/>
    <col min="12036" max="12036" width="9.5703125" style="145" customWidth="1"/>
    <col min="12037" max="12038" width="10.42578125" style="145" customWidth="1"/>
    <col min="12039" max="12039" width="7.140625" style="145" customWidth="1"/>
    <col min="12040" max="12040" width="9.140625" style="145"/>
    <col min="12041" max="12041" width="8.140625" style="145" customWidth="1"/>
    <col min="12042" max="12042" width="9.140625" style="145"/>
    <col min="12043" max="12043" width="7.5703125" style="145" customWidth="1"/>
    <col min="12044" max="12044" width="8.28515625" style="145" customWidth="1"/>
    <col min="12045" max="12045" width="7" style="145" customWidth="1"/>
    <col min="12046" max="12046" width="9.140625" style="145"/>
    <col min="12047" max="12047" width="7.28515625" style="145" bestFit="1" customWidth="1"/>
    <col min="12048" max="12288" width="9.140625" style="145"/>
    <col min="12289" max="12289" width="14.85546875" style="145" customWidth="1"/>
    <col min="12290" max="12290" width="10" style="145" customWidth="1"/>
    <col min="12291" max="12291" width="8.85546875" style="145" customWidth="1"/>
    <col min="12292" max="12292" width="9.5703125" style="145" customWidth="1"/>
    <col min="12293" max="12294" width="10.42578125" style="145" customWidth="1"/>
    <col min="12295" max="12295" width="7.140625" style="145" customWidth="1"/>
    <col min="12296" max="12296" width="9.140625" style="145"/>
    <col min="12297" max="12297" width="8.140625" style="145" customWidth="1"/>
    <col min="12298" max="12298" width="9.140625" style="145"/>
    <col min="12299" max="12299" width="7.5703125" style="145" customWidth="1"/>
    <col min="12300" max="12300" width="8.28515625" style="145" customWidth="1"/>
    <col min="12301" max="12301" width="7" style="145" customWidth="1"/>
    <col min="12302" max="12302" width="9.140625" style="145"/>
    <col min="12303" max="12303" width="7.28515625" style="145" bestFit="1" customWidth="1"/>
    <col min="12304" max="12544" width="9.140625" style="145"/>
    <col min="12545" max="12545" width="14.85546875" style="145" customWidth="1"/>
    <col min="12546" max="12546" width="10" style="145" customWidth="1"/>
    <col min="12547" max="12547" width="8.85546875" style="145" customWidth="1"/>
    <col min="12548" max="12548" width="9.5703125" style="145" customWidth="1"/>
    <col min="12549" max="12550" width="10.42578125" style="145" customWidth="1"/>
    <col min="12551" max="12551" width="7.140625" style="145" customWidth="1"/>
    <col min="12552" max="12552" width="9.140625" style="145"/>
    <col min="12553" max="12553" width="8.140625" style="145" customWidth="1"/>
    <col min="12554" max="12554" width="9.140625" style="145"/>
    <col min="12555" max="12555" width="7.5703125" style="145" customWidth="1"/>
    <col min="12556" max="12556" width="8.28515625" style="145" customWidth="1"/>
    <col min="12557" max="12557" width="7" style="145" customWidth="1"/>
    <col min="12558" max="12558" width="9.140625" style="145"/>
    <col min="12559" max="12559" width="7.28515625" style="145" bestFit="1" customWidth="1"/>
    <col min="12560" max="12800" width="9.140625" style="145"/>
    <col min="12801" max="12801" width="14.85546875" style="145" customWidth="1"/>
    <col min="12802" max="12802" width="10" style="145" customWidth="1"/>
    <col min="12803" max="12803" width="8.85546875" style="145" customWidth="1"/>
    <col min="12804" max="12804" width="9.5703125" style="145" customWidth="1"/>
    <col min="12805" max="12806" width="10.42578125" style="145" customWidth="1"/>
    <col min="12807" max="12807" width="7.140625" style="145" customWidth="1"/>
    <col min="12808" max="12808" width="9.140625" style="145"/>
    <col min="12809" max="12809" width="8.140625" style="145" customWidth="1"/>
    <col min="12810" max="12810" width="9.140625" style="145"/>
    <col min="12811" max="12811" width="7.5703125" style="145" customWidth="1"/>
    <col min="12812" max="12812" width="8.28515625" style="145" customWidth="1"/>
    <col min="12813" max="12813" width="7" style="145" customWidth="1"/>
    <col min="12814" max="12814" width="9.140625" style="145"/>
    <col min="12815" max="12815" width="7.28515625" style="145" bestFit="1" customWidth="1"/>
    <col min="12816" max="13056" width="9.140625" style="145"/>
    <col min="13057" max="13057" width="14.85546875" style="145" customWidth="1"/>
    <col min="13058" max="13058" width="10" style="145" customWidth="1"/>
    <col min="13059" max="13059" width="8.85546875" style="145" customWidth="1"/>
    <col min="13060" max="13060" width="9.5703125" style="145" customWidth="1"/>
    <col min="13061" max="13062" width="10.42578125" style="145" customWidth="1"/>
    <col min="13063" max="13063" width="7.140625" style="145" customWidth="1"/>
    <col min="13064" max="13064" width="9.140625" style="145"/>
    <col min="13065" max="13065" width="8.140625" style="145" customWidth="1"/>
    <col min="13066" max="13066" width="9.140625" style="145"/>
    <col min="13067" max="13067" width="7.5703125" style="145" customWidth="1"/>
    <col min="13068" max="13068" width="8.28515625" style="145" customWidth="1"/>
    <col min="13069" max="13069" width="7" style="145" customWidth="1"/>
    <col min="13070" max="13070" width="9.140625" style="145"/>
    <col min="13071" max="13071" width="7.28515625" style="145" bestFit="1" customWidth="1"/>
    <col min="13072" max="13312" width="9.140625" style="145"/>
    <col min="13313" max="13313" width="14.85546875" style="145" customWidth="1"/>
    <col min="13314" max="13314" width="10" style="145" customWidth="1"/>
    <col min="13315" max="13315" width="8.85546875" style="145" customWidth="1"/>
    <col min="13316" max="13316" width="9.5703125" style="145" customWidth="1"/>
    <col min="13317" max="13318" width="10.42578125" style="145" customWidth="1"/>
    <col min="13319" max="13319" width="7.140625" style="145" customWidth="1"/>
    <col min="13320" max="13320" width="9.140625" style="145"/>
    <col min="13321" max="13321" width="8.140625" style="145" customWidth="1"/>
    <col min="13322" max="13322" width="9.140625" style="145"/>
    <col min="13323" max="13323" width="7.5703125" style="145" customWidth="1"/>
    <col min="13324" max="13324" width="8.28515625" style="145" customWidth="1"/>
    <col min="13325" max="13325" width="7" style="145" customWidth="1"/>
    <col min="13326" max="13326" width="9.140625" style="145"/>
    <col min="13327" max="13327" width="7.28515625" style="145" bestFit="1" customWidth="1"/>
    <col min="13328" max="13568" width="9.140625" style="145"/>
    <col min="13569" max="13569" width="14.85546875" style="145" customWidth="1"/>
    <col min="13570" max="13570" width="10" style="145" customWidth="1"/>
    <col min="13571" max="13571" width="8.85546875" style="145" customWidth="1"/>
    <col min="13572" max="13572" width="9.5703125" style="145" customWidth="1"/>
    <col min="13573" max="13574" width="10.42578125" style="145" customWidth="1"/>
    <col min="13575" max="13575" width="7.140625" style="145" customWidth="1"/>
    <col min="13576" max="13576" width="9.140625" style="145"/>
    <col min="13577" max="13577" width="8.140625" style="145" customWidth="1"/>
    <col min="13578" max="13578" width="9.140625" style="145"/>
    <col min="13579" max="13579" width="7.5703125" style="145" customWidth="1"/>
    <col min="13580" max="13580" width="8.28515625" style="145" customWidth="1"/>
    <col min="13581" max="13581" width="7" style="145" customWidth="1"/>
    <col min="13582" max="13582" width="9.140625" style="145"/>
    <col min="13583" max="13583" width="7.28515625" style="145" bestFit="1" customWidth="1"/>
    <col min="13584" max="13824" width="9.140625" style="145"/>
    <col min="13825" max="13825" width="14.85546875" style="145" customWidth="1"/>
    <col min="13826" max="13826" width="10" style="145" customWidth="1"/>
    <col min="13827" max="13827" width="8.85546875" style="145" customWidth="1"/>
    <col min="13828" max="13828" width="9.5703125" style="145" customWidth="1"/>
    <col min="13829" max="13830" width="10.42578125" style="145" customWidth="1"/>
    <col min="13831" max="13831" width="7.140625" style="145" customWidth="1"/>
    <col min="13832" max="13832" width="9.140625" style="145"/>
    <col min="13833" max="13833" width="8.140625" style="145" customWidth="1"/>
    <col min="13834" max="13834" width="9.140625" style="145"/>
    <col min="13835" max="13835" width="7.5703125" style="145" customWidth="1"/>
    <col min="13836" max="13836" width="8.28515625" style="145" customWidth="1"/>
    <col min="13837" max="13837" width="7" style="145" customWidth="1"/>
    <col min="13838" max="13838" width="9.140625" style="145"/>
    <col min="13839" max="13839" width="7.28515625" style="145" bestFit="1" customWidth="1"/>
    <col min="13840" max="14080" width="9.140625" style="145"/>
    <col min="14081" max="14081" width="14.85546875" style="145" customWidth="1"/>
    <col min="14082" max="14082" width="10" style="145" customWidth="1"/>
    <col min="14083" max="14083" width="8.85546875" style="145" customWidth="1"/>
    <col min="14084" max="14084" width="9.5703125" style="145" customWidth="1"/>
    <col min="14085" max="14086" width="10.42578125" style="145" customWidth="1"/>
    <col min="14087" max="14087" width="7.140625" style="145" customWidth="1"/>
    <col min="14088" max="14088" width="9.140625" style="145"/>
    <col min="14089" max="14089" width="8.140625" style="145" customWidth="1"/>
    <col min="14090" max="14090" width="9.140625" style="145"/>
    <col min="14091" max="14091" width="7.5703125" style="145" customWidth="1"/>
    <col min="14092" max="14092" width="8.28515625" style="145" customWidth="1"/>
    <col min="14093" max="14093" width="7" style="145" customWidth="1"/>
    <col min="14094" max="14094" width="9.140625" style="145"/>
    <col min="14095" max="14095" width="7.28515625" style="145" bestFit="1" customWidth="1"/>
    <col min="14096" max="14336" width="9.140625" style="145"/>
    <col min="14337" max="14337" width="14.85546875" style="145" customWidth="1"/>
    <col min="14338" max="14338" width="10" style="145" customWidth="1"/>
    <col min="14339" max="14339" width="8.85546875" style="145" customWidth="1"/>
    <col min="14340" max="14340" width="9.5703125" style="145" customWidth="1"/>
    <col min="14341" max="14342" width="10.42578125" style="145" customWidth="1"/>
    <col min="14343" max="14343" width="7.140625" style="145" customWidth="1"/>
    <col min="14344" max="14344" width="9.140625" style="145"/>
    <col min="14345" max="14345" width="8.140625" style="145" customWidth="1"/>
    <col min="14346" max="14346" width="9.140625" style="145"/>
    <col min="14347" max="14347" width="7.5703125" style="145" customWidth="1"/>
    <col min="14348" max="14348" width="8.28515625" style="145" customWidth="1"/>
    <col min="14349" max="14349" width="7" style="145" customWidth="1"/>
    <col min="14350" max="14350" width="9.140625" style="145"/>
    <col min="14351" max="14351" width="7.28515625" style="145" bestFit="1" customWidth="1"/>
    <col min="14352" max="14592" width="9.140625" style="145"/>
    <col min="14593" max="14593" width="14.85546875" style="145" customWidth="1"/>
    <col min="14594" max="14594" width="10" style="145" customWidth="1"/>
    <col min="14595" max="14595" width="8.85546875" style="145" customWidth="1"/>
    <col min="14596" max="14596" width="9.5703125" style="145" customWidth="1"/>
    <col min="14597" max="14598" width="10.42578125" style="145" customWidth="1"/>
    <col min="14599" max="14599" width="7.140625" style="145" customWidth="1"/>
    <col min="14600" max="14600" width="9.140625" style="145"/>
    <col min="14601" max="14601" width="8.140625" style="145" customWidth="1"/>
    <col min="14602" max="14602" width="9.140625" style="145"/>
    <col min="14603" max="14603" width="7.5703125" style="145" customWidth="1"/>
    <col min="14604" max="14604" width="8.28515625" style="145" customWidth="1"/>
    <col min="14605" max="14605" width="7" style="145" customWidth="1"/>
    <col min="14606" max="14606" width="9.140625" style="145"/>
    <col min="14607" max="14607" width="7.28515625" style="145" bestFit="1" customWidth="1"/>
    <col min="14608" max="14848" width="9.140625" style="145"/>
    <col min="14849" max="14849" width="14.85546875" style="145" customWidth="1"/>
    <col min="14850" max="14850" width="10" style="145" customWidth="1"/>
    <col min="14851" max="14851" width="8.85546875" style="145" customWidth="1"/>
    <col min="14852" max="14852" width="9.5703125" style="145" customWidth="1"/>
    <col min="14853" max="14854" width="10.42578125" style="145" customWidth="1"/>
    <col min="14855" max="14855" width="7.140625" style="145" customWidth="1"/>
    <col min="14856" max="14856" width="9.140625" style="145"/>
    <col min="14857" max="14857" width="8.140625" style="145" customWidth="1"/>
    <col min="14858" max="14858" width="9.140625" style="145"/>
    <col min="14859" max="14859" width="7.5703125" style="145" customWidth="1"/>
    <col min="14860" max="14860" width="8.28515625" style="145" customWidth="1"/>
    <col min="14861" max="14861" width="7" style="145" customWidth="1"/>
    <col min="14862" max="14862" width="9.140625" style="145"/>
    <col min="14863" max="14863" width="7.28515625" style="145" bestFit="1" customWidth="1"/>
    <col min="14864" max="15104" width="9.140625" style="145"/>
    <col min="15105" max="15105" width="14.85546875" style="145" customWidth="1"/>
    <col min="15106" max="15106" width="10" style="145" customWidth="1"/>
    <col min="15107" max="15107" width="8.85546875" style="145" customWidth="1"/>
    <col min="15108" max="15108" width="9.5703125" style="145" customWidth="1"/>
    <col min="15109" max="15110" width="10.42578125" style="145" customWidth="1"/>
    <col min="15111" max="15111" width="7.140625" style="145" customWidth="1"/>
    <col min="15112" max="15112" width="9.140625" style="145"/>
    <col min="15113" max="15113" width="8.140625" style="145" customWidth="1"/>
    <col min="15114" max="15114" width="9.140625" style="145"/>
    <col min="15115" max="15115" width="7.5703125" style="145" customWidth="1"/>
    <col min="15116" max="15116" width="8.28515625" style="145" customWidth="1"/>
    <col min="15117" max="15117" width="7" style="145" customWidth="1"/>
    <col min="15118" max="15118" width="9.140625" style="145"/>
    <col min="15119" max="15119" width="7.28515625" style="145" bestFit="1" customWidth="1"/>
    <col min="15120" max="15360" width="9.140625" style="145"/>
    <col min="15361" max="15361" width="14.85546875" style="145" customWidth="1"/>
    <col min="15362" max="15362" width="10" style="145" customWidth="1"/>
    <col min="15363" max="15363" width="8.85546875" style="145" customWidth="1"/>
    <col min="15364" max="15364" width="9.5703125" style="145" customWidth="1"/>
    <col min="15365" max="15366" width="10.42578125" style="145" customWidth="1"/>
    <col min="15367" max="15367" width="7.140625" style="145" customWidth="1"/>
    <col min="15368" max="15368" width="9.140625" style="145"/>
    <col min="15369" max="15369" width="8.140625" style="145" customWidth="1"/>
    <col min="15370" max="15370" width="9.140625" style="145"/>
    <col min="15371" max="15371" width="7.5703125" style="145" customWidth="1"/>
    <col min="15372" max="15372" width="8.28515625" style="145" customWidth="1"/>
    <col min="15373" max="15373" width="7" style="145" customWidth="1"/>
    <col min="15374" max="15374" width="9.140625" style="145"/>
    <col min="15375" max="15375" width="7.28515625" style="145" bestFit="1" customWidth="1"/>
    <col min="15376" max="15616" width="9.140625" style="145"/>
    <col min="15617" max="15617" width="14.85546875" style="145" customWidth="1"/>
    <col min="15618" max="15618" width="10" style="145" customWidth="1"/>
    <col min="15619" max="15619" width="8.85546875" style="145" customWidth="1"/>
    <col min="15620" max="15620" width="9.5703125" style="145" customWidth="1"/>
    <col min="15621" max="15622" width="10.42578125" style="145" customWidth="1"/>
    <col min="15623" max="15623" width="7.140625" style="145" customWidth="1"/>
    <col min="15624" max="15624" width="9.140625" style="145"/>
    <col min="15625" max="15625" width="8.140625" style="145" customWidth="1"/>
    <col min="15626" max="15626" width="9.140625" style="145"/>
    <col min="15627" max="15627" width="7.5703125" style="145" customWidth="1"/>
    <col min="15628" max="15628" width="8.28515625" style="145" customWidth="1"/>
    <col min="15629" max="15629" width="7" style="145" customWidth="1"/>
    <col min="15630" max="15630" width="9.140625" style="145"/>
    <col min="15631" max="15631" width="7.28515625" style="145" bestFit="1" customWidth="1"/>
    <col min="15632" max="15872" width="9.140625" style="145"/>
    <col min="15873" max="15873" width="14.85546875" style="145" customWidth="1"/>
    <col min="15874" max="15874" width="10" style="145" customWidth="1"/>
    <col min="15875" max="15875" width="8.85546875" style="145" customWidth="1"/>
    <col min="15876" max="15876" width="9.5703125" style="145" customWidth="1"/>
    <col min="15877" max="15878" width="10.42578125" style="145" customWidth="1"/>
    <col min="15879" max="15879" width="7.140625" style="145" customWidth="1"/>
    <col min="15880" max="15880" width="9.140625" style="145"/>
    <col min="15881" max="15881" width="8.140625" style="145" customWidth="1"/>
    <col min="15882" max="15882" width="9.140625" style="145"/>
    <col min="15883" max="15883" width="7.5703125" style="145" customWidth="1"/>
    <col min="15884" max="15884" width="8.28515625" style="145" customWidth="1"/>
    <col min="15885" max="15885" width="7" style="145" customWidth="1"/>
    <col min="15886" max="15886" width="9.140625" style="145"/>
    <col min="15887" max="15887" width="7.28515625" style="145" bestFit="1" customWidth="1"/>
    <col min="15888" max="16128" width="9.140625" style="145"/>
    <col min="16129" max="16129" width="14.85546875" style="145" customWidth="1"/>
    <col min="16130" max="16130" width="10" style="145" customWidth="1"/>
    <col min="16131" max="16131" width="8.85546875" style="145" customWidth="1"/>
    <col min="16132" max="16132" width="9.5703125" style="145" customWidth="1"/>
    <col min="16133" max="16134" width="10.42578125" style="145" customWidth="1"/>
    <col min="16135" max="16135" width="7.140625" style="145" customWidth="1"/>
    <col min="16136" max="16136" width="9.140625" style="145"/>
    <col min="16137" max="16137" width="8.140625" style="145" customWidth="1"/>
    <col min="16138" max="16138" width="9.140625" style="145"/>
    <col min="16139" max="16139" width="7.5703125" style="145" customWidth="1"/>
    <col min="16140" max="16140" width="8.28515625" style="145" customWidth="1"/>
    <col min="16141" max="16141" width="7" style="145" customWidth="1"/>
    <col min="16142" max="16142" width="9.140625" style="145"/>
    <col min="16143" max="16143" width="7.28515625" style="145" bestFit="1" customWidth="1"/>
    <col min="16144" max="16384" width="9.140625" style="145"/>
  </cols>
  <sheetData>
    <row r="1" spans="1:15">
      <c r="A1" s="538" t="s">
        <v>499</v>
      </c>
      <c r="B1" s="539"/>
      <c r="C1" s="539"/>
      <c r="D1" s="539"/>
      <c r="E1" s="539"/>
      <c r="F1" s="540"/>
      <c r="G1" s="540"/>
      <c r="H1" s="539"/>
      <c r="I1" s="540"/>
      <c r="J1" s="540"/>
      <c r="K1" s="539"/>
      <c r="L1" s="539"/>
      <c r="M1" s="539"/>
      <c r="N1" s="539"/>
      <c r="O1" s="541"/>
    </row>
    <row r="2" spans="1:15" ht="15">
      <c r="A2" s="546" t="s">
        <v>585</v>
      </c>
      <c r="B2" s="546"/>
      <c r="C2" s="546"/>
      <c r="D2" s="142"/>
      <c r="E2" s="142"/>
      <c r="F2" s="143"/>
      <c r="G2" s="143"/>
      <c r="H2" s="142"/>
      <c r="I2" s="143"/>
      <c r="J2" s="143"/>
      <c r="K2" s="142"/>
      <c r="L2" s="142"/>
      <c r="M2" s="142"/>
      <c r="N2" s="142"/>
      <c r="O2" s="144"/>
    </row>
    <row r="3" spans="1:15" ht="39" customHeight="1">
      <c r="A3" s="146" t="s">
        <v>500</v>
      </c>
      <c r="B3" s="542" t="s">
        <v>501</v>
      </c>
      <c r="C3" s="543"/>
      <c r="D3" s="543"/>
      <c r="E3" s="544"/>
      <c r="F3" s="147" t="s">
        <v>502</v>
      </c>
      <c r="G3" s="148">
        <v>13</v>
      </c>
      <c r="H3" s="149"/>
      <c r="I3" s="147" t="s">
        <v>89</v>
      </c>
      <c r="J3" s="148">
        <v>5373</v>
      </c>
      <c r="K3" s="150"/>
      <c r="L3" s="151" t="s">
        <v>90</v>
      </c>
      <c r="M3" s="149">
        <v>800</v>
      </c>
      <c r="N3" s="150"/>
      <c r="O3" s="152"/>
    </row>
    <row r="4" spans="1:15" s="153" customFormat="1" ht="14.25" customHeight="1">
      <c r="K4" s="154"/>
      <c r="L4" s="155"/>
      <c r="N4" s="154"/>
      <c r="O4" s="154"/>
    </row>
    <row r="5" spans="1:15" ht="40.5" customHeight="1">
      <c r="A5" s="146" t="s">
        <v>503</v>
      </c>
      <c r="B5" s="545" t="s">
        <v>504</v>
      </c>
      <c r="C5" s="545"/>
      <c r="D5" s="545"/>
      <c r="E5" s="537" t="s">
        <v>505</v>
      </c>
      <c r="F5" s="537"/>
      <c r="G5" s="545" t="s">
        <v>506</v>
      </c>
      <c r="H5" s="545"/>
      <c r="I5" s="545"/>
      <c r="J5" s="156"/>
      <c r="K5" s="156"/>
      <c r="L5" s="156"/>
      <c r="M5" s="156"/>
      <c r="N5" s="156"/>
      <c r="O5" s="156"/>
    </row>
    <row r="6" spans="1:15" s="153" customFormat="1" ht="15.75" customHeight="1"/>
    <row r="7" spans="1:15" ht="35.25" customHeight="1">
      <c r="A7" s="537" t="s">
        <v>507</v>
      </c>
      <c r="B7" s="537"/>
      <c r="C7" s="545" t="s">
        <v>508</v>
      </c>
      <c r="D7" s="545"/>
      <c r="E7" s="545"/>
      <c r="F7" s="545"/>
      <c r="G7" s="542" t="s">
        <v>509</v>
      </c>
      <c r="H7" s="543"/>
      <c r="I7" s="543"/>
      <c r="J7" s="543"/>
      <c r="K7" s="544"/>
      <c r="L7" s="156"/>
      <c r="M7" s="156"/>
      <c r="N7" s="156"/>
      <c r="O7" s="156"/>
    </row>
    <row r="8" spans="1:15" s="153" customFormat="1" ht="18" customHeight="1"/>
    <row r="9" spans="1:15" ht="24" customHeight="1">
      <c r="A9" s="157" t="s">
        <v>91</v>
      </c>
      <c r="B9" s="158">
        <v>46</v>
      </c>
      <c r="C9" s="157" t="s">
        <v>92</v>
      </c>
      <c r="D9" s="158">
        <v>39</v>
      </c>
      <c r="E9" s="157" t="s">
        <v>93</v>
      </c>
      <c r="F9" s="158">
        <v>121</v>
      </c>
      <c r="G9" s="157" t="s">
        <v>94</v>
      </c>
      <c r="H9" s="158">
        <v>16</v>
      </c>
      <c r="I9" s="157" t="s">
        <v>95</v>
      </c>
      <c r="J9" s="158">
        <v>123</v>
      </c>
      <c r="K9" s="158"/>
      <c r="L9" s="158"/>
      <c r="M9" s="158"/>
      <c r="N9" s="158"/>
      <c r="O9" s="158"/>
    </row>
    <row r="10" spans="1:15" ht="16.5" customHeight="1">
      <c r="A10" s="15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8"/>
    </row>
    <row r="11" spans="1:15">
      <c r="A11" s="160" t="s">
        <v>96</v>
      </c>
      <c r="B11" s="161" t="s">
        <v>40</v>
      </c>
      <c r="C11" s="161">
        <v>985</v>
      </c>
      <c r="D11" s="161" t="s">
        <v>41</v>
      </c>
      <c r="E11" s="161">
        <v>313</v>
      </c>
      <c r="F11" s="161" t="s">
        <v>42</v>
      </c>
      <c r="G11" s="161">
        <v>173</v>
      </c>
      <c r="H11" s="161" t="s">
        <v>64</v>
      </c>
      <c r="I11" s="161">
        <v>1471</v>
      </c>
      <c r="J11" s="161" t="s">
        <v>97</v>
      </c>
      <c r="K11" s="161">
        <v>479</v>
      </c>
      <c r="L11" s="161" t="s">
        <v>98</v>
      </c>
      <c r="M11" s="161">
        <v>353</v>
      </c>
      <c r="N11" s="161"/>
      <c r="O11" s="161"/>
    </row>
    <row r="12" spans="1:15">
      <c r="A12" s="15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8"/>
    </row>
    <row r="13" spans="1:15">
      <c r="A13" s="162" t="s">
        <v>45</v>
      </c>
      <c r="B13" s="162" t="s">
        <v>46</v>
      </c>
      <c r="C13" s="162">
        <v>2213</v>
      </c>
      <c r="D13" s="162" t="s">
        <v>99</v>
      </c>
      <c r="E13" s="162">
        <v>689</v>
      </c>
      <c r="F13" s="162" t="s">
        <v>48</v>
      </c>
      <c r="G13" s="162">
        <v>386</v>
      </c>
      <c r="H13" s="162" t="s">
        <v>77</v>
      </c>
      <c r="I13" s="162">
        <v>3288</v>
      </c>
      <c r="J13" s="162"/>
      <c r="K13" s="162"/>
      <c r="L13" s="162"/>
      <c r="M13" s="162"/>
      <c r="N13" s="162"/>
      <c r="O13" s="162"/>
    </row>
    <row r="14" spans="1:15" ht="21">
      <c r="A14" s="158"/>
      <c r="B14" s="158" t="s">
        <v>49</v>
      </c>
      <c r="C14" s="158">
        <v>2272</v>
      </c>
      <c r="D14" s="158" t="s">
        <v>100</v>
      </c>
      <c r="E14" s="158">
        <v>673</v>
      </c>
      <c r="F14" s="158" t="s">
        <v>51</v>
      </c>
      <c r="G14" s="158">
        <v>400</v>
      </c>
      <c r="H14" s="158" t="s">
        <v>76</v>
      </c>
      <c r="I14" s="158">
        <v>3345</v>
      </c>
      <c r="J14" s="158"/>
      <c r="K14" s="158"/>
      <c r="L14" s="158"/>
      <c r="M14" s="158"/>
      <c r="N14" s="158"/>
      <c r="O14" s="158"/>
    </row>
    <row r="15" spans="1:15">
      <c r="A15" s="15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8"/>
    </row>
    <row r="16" spans="1:15">
      <c r="A16" s="162" t="s">
        <v>52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</row>
    <row r="17" spans="1:15">
      <c r="A17" s="537" t="s">
        <v>53</v>
      </c>
      <c r="B17" s="537"/>
      <c r="C17" s="537" t="s">
        <v>101</v>
      </c>
      <c r="D17" s="537" t="s">
        <v>55</v>
      </c>
      <c r="E17" s="537" t="s">
        <v>102</v>
      </c>
      <c r="F17" s="537" t="s">
        <v>103</v>
      </c>
      <c r="G17" s="537" t="s">
        <v>104</v>
      </c>
      <c r="H17" s="537"/>
      <c r="I17" s="537"/>
      <c r="J17" s="537"/>
      <c r="K17" s="537"/>
      <c r="L17" s="537"/>
      <c r="M17" s="537"/>
      <c r="N17" s="537"/>
      <c r="O17" s="537"/>
    </row>
    <row r="18" spans="1:15">
      <c r="A18" s="537"/>
      <c r="B18" s="537"/>
      <c r="C18" s="537"/>
      <c r="D18" s="537"/>
      <c r="E18" s="537"/>
      <c r="F18" s="537"/>
      <c r="G18" s="146" t="s">
        <v>105</v>
      </c>
      <c r="H18" s="146" t="s">
        <v>106</v>
      </c>
      <c r="I18" s="146" t="s">
        <v>107</v>
      </c>
      <c r="J18" s="146" t="s">
        <v>108</v>
      </c>
      <c r="K18" s="146" t="s">
        <v>109</v>
      </c>
      <c r="L18" s="146" t="s">
        <v>110</v>
      </c>
      <c r="M18" s="146" t="s">
        <v>111</v>
      </c>
      <c r="N18" s="146" t="s">
        <v>64</v>
      </c>
      <c r="O18" s="146" t="s">
        <v>112</v>
      </c>
    </row>
    <row r="19" spans="1:15" ht="24.75" customHeight="1">
      <c r="A19" s="547" t="s">
        <v>510</v>
      </c>
      <c r="B19" s="547"/>
      <c r="C19" s="156">
        <v>500</v>
      </c>
      <c r="D19" s="156" t="s">
        <v>300</v>
      </c>
      <c r="E19" s="156">
        <f>C19*J3</f>
        <v>2686500</v>
      </c>
      <c r="F19" s="156">
        <v>1227740</v>
      </c>
      <c r="G19" s="156">
        <v>194561</v>
      </c>
      <c r="H19" s="156">
        <v>190256</v>
      </c>
      <c r="I19" s="156">
        <v>52285</v>
      </c>
      <c r="J19" s="156">
        <v>20760</v>
      </c>
      <c r="K19" s="156">
        <v>680727</v>
      </c>
      <c r="L19" s="156">
        <v>344380</v>
      </c>
      <c r="M19" s="156">
        <v>0</v>
      </c>
      <c r="N19" s="156">
        <f>G19+H19+I19+J19+K19+L19+M19</f>
        <v>1482969</v>
      </c>
      <c r="O19" s="163"/>
    </row>
    <row r="20" spans="1:15" ht="18" customHeight="1">
      <c r="A20" s="547" t="s">
        <v>511</v>
      </c>
      <c r="B20" s="547"/>
      <c r="C20" s="156">
        <v>360</v>
      </c>
      <c r="D20" s="156" t="s">
        <v>300</v>
      </c>
      <c r="E20" s="156">
        <f>C20*5373</f>
        <v>1934280</v>
      </c>
      <c r="F20" s="156">
        <v>1469940</v>
      </c>
      <c r="G20" s="156">
        <v>0</v>
      </c>
      <c r="H20" s="156">
        <v>305006</v>
      </c>
      <c r="I20" s="156">
        <v>21485</v>
      </c>
      <c r="J20" s="156">
        <v>215371</v>
      </c>
      <c r="K20" s="156">
        <v>417554</v>
      </c>
      <c r="L20" s="156">
        <v>28358</v>
      </c>
      <c r="M20" s="156">
        <v>0</v>
      </c>
      <c r="N20" s="156">
        <f>G20+H20+I20+J20+K20+L20+M20</f>
        <v>987774</v>
      </c>
      <c r="O20" s="156"/>
    </row>
    <row r="21" spans="1:15" ht="21">
      <c r="A21" s="547" t="s">
        <v>512</v>
      </c>
      <c r="B21" s="547"/>
      <c r="C21" s="156">
        <v>8.4</v>
      </c>
      <c r="D21" s="156" t="s">
        <v>513</v>
      </c>
      <c r="E21" s="156">
        <v>58.8</v>
      </c>
      <c r="F21" s="548">
        <v>3175000</v>
      </c>
      <c r="G21" s="548">
        <v>66382</v>
      </c>
      <c r="H21" s="548">
        <v>344276</v>
      </c>
      <c r="I21" s="164">
        <v>0</v>
      </c>
      <c r="J21" s="165">
        <v>529176</v>
      </c>
      <c r="K21" s="164">
        <v>378497</v>
      </c>
      <c r="L21" s="164">
        <v>277576</v>
      </c>
      <c r="M21" s="156">
        <v>0</v>
      </c>
      <c r="N21" s="548">
        <f>G21+H21+I21+J21+K21+L21+M21</f>
        <v>1595907</v>
      </c>
      <c r="O21" s="548"/>
    </row>
    <row r="22" spans="1:15" ht="21">
      <c r="A22" s="547" t="s">
        <v>514</v>
      </c>
      <c r="B22" s="547"/>
      <c r="C22" s="156">
        <v>0.84</v>
      </c>
      <c r="D22" s="156" t="s">
        <v>513</v>
      </c>
      <c r="E22" s="156">
        <v>5.88</v>
      </c>
      <c r="F22" s="549"/>
      <c r="G22" s="549"/>
      <c r="H22" s="549"/>
      <c r="I22" s="164">
        <v>0</v>
      </c>
      <c r="J22" s="166">
        <v>149400</v>
      </c>
      <c r="K22" s="164">
        <v>123100</v>
      </c>
      <c r="L22" s="164">
        <v>78324</v>
      </c>
      <c r="M22" s="156"/>
      <c r="N22" s="549"/>
      <c r="O22" s="549"/>
    </row>
    <row r="23" spans="1:15" ht="21">
      <c r="A23" s="547" t="s">
        <v>515</v>
      </c>
      <c r="B23" s="547"/>
      <c r="C23" s="156">
        <v>3.6</v>
      </c>
      <c r="D23" s="156" t="s">
        <v>513</v>
      </c>
      <c r="E23" s="156">
        <v>25.2</v>
      </c>
      <c r="F23" s="549"/>
      <c r="G23" s="549"/>
      <c r="H23" s="549"/>
      <c r="I23" s="164">
        <v>40000</v>
      </c>
      <c r="J23" s="166">
        <v>345720</v>
      </c>
      <c r="K23" s="164">
        <v>204000</v>
      </c>
      <c r="L23" s="164">
        <v>154000</v>
      </c>
      <c r="M23" s="156"/>
      <c r="N23" s="549"/>
      <c r="O23" s="549"/>
    </row>
    <row r="24" spans="1:15" ht="21">
      <c r="A24" s="547" t="s">
        <v>516</v>
      </c>
      <c r="B24" s="547"/>
      <c r="C24" s="156">
        <v>0.24</v>
      </c>
      <c r="D24" s="156" t="s">
        <v>513</v>
      </c>
      <c r="E24" s="156">
        <v>1.68</v>
      </c>
      <c r="F24" s="549"/>
      <c r="G24" s="549"/>
      <c r="H24" s="549"/>
      <c r="I24" s="164">
        <v>0</v>
      </c>
      <c r="J24" s="166">
        <v>54238</v>
      </c>
      <c r="K24" s="164">
        <v>30554</v>
      </c>
      <c r="L24" s="164">
        <v>14049</v>
      </c>
      <c r="M24" s="156"/>
      <c r="N24" s="549"/>
      <c r="O24" s="549"/>
    </row>
    <row r="25" spans="1:15" ht="21">
      <c r="A25" s="547" t="s">
        <v>517</v>
      </c>
      <c r="B25" s="547"/>
      <c r="C25" s="156">
        <v>0.24</v>
      </c>
      <c r="D25" s="156" t="s">
        <v>513</v>
      </c>
      <c r="E25" s="156">
        <v>1.68</v>
      </c>
      <c r="F25" s="549"/>
      <c r="G25" s="549"/>
      <c r="H25" s="549"/>
      <c r="I25" s="164">
        <v>256335</v>
      </c>
      <c r="J25" s="166">
        <v>39933</v>
      </c>
      <c r="K25" s="164">
        <v>39046</v>
      </c>
      <c r="L25" s="164">
        <v>57726</v>
      </c>
      <c r="M25" s="156"/>
      <c r="N25" s="549"/>
      <c r="O25" s="549"/>
    </row>
    <row r="26" spans="1:15">
      <c r="A26" s="547" t="s">
        <v>113</v>
      </c>
      <c r="B26" s="547"/>
      <c r="C26" s="156">
        <v>0.2</v>
      </c>
      <c r="D26" s="156" t="s">
        <v>518</v>
      </c>
      <c r="E26" s="156">
        <v>0.2</v>
      </c>
      <c r="F26" s="550"/>
      <c r="G26" s="550"/>
      <c r="H26" s="550"/>
      <c r="I26" s="164">
        <v>0</v>
      </c>
      <c r="J26" s="167">
        <v>0</v>
      </c>
      <c r="K26" s="164">
        <v>0</v>
      </c>
      <c r="L26" s="164">
        <v>0</v>
      </c>
      <c r="M26" s="156"/>
      <c r="N26" s="550"/>
      <c r="O26" s="550"/>
    </row>
    <row r="27" spans="1:15">
      <c r="A27" s="537" t="s">
        <v>64</v>
      </c>
      <c r="B27" s="537"/>
      <c r="C27" s="156"/>
      <c r="D27" s="156"/>
      <c r="E27" s="156">
        <f>SUM(E19:E26)</f>
        <v>4620873.4399999995</v>
      </c>
      <c r="F27" s="156">
        <f t="shared" ref="F27:O27" si="0">SUM(F19:F26)</f>
        <v>5872680</v>
      </c>
      <c r="G27" s="156">
        <f t="shared" si="0"/>
        <v>260943</v>
      </c>
      <c r="H27" s="156">
        <f t="shared" si="0"/>
        <v>839538</v>
      </c>
      <c r="I27" s="156">
        <f t="shared" si="0"/>
        <v>370105</v>
      </c>
      <c r="J27" s="156">
        <f t="shared" si="0"/>
        <v>1354598</v>
      </c>
      <c r="K27" s="156">
        <f t="shared" si="0"/>
        <v>1873478</v>
      </c>
      <c r="L27" s="156">
        <f t="shared" si="0"/>
        <v>954413</v>
      </c>
      <c r="M27" s="156">
        <f t="shared" si="0"/>
        <v>0</v>
      </c>
      <c r="N27" s="156">
        <f t="shared" si="0"/>
        <v>4066650</v>
      </c>
      <c r="O27" s="156">
        <f t="shared" si="0"/>
        <v>0</v>
      </c>
    </row>
  </sheetData>
  <mergeCells count="29">
    <mergeCell ref="A27:B27"/>
    <mergeCell ref="N21:N26"/>
    <mergeCell ref="O21:O26"/>
    <mergeCell ref="A22:B22"/>
    <mergeCell ref="A23:B23"/>
    <mergeCell ref="A24:B24"/>
    <mergeCell ref="A25:B25"/>
    <mergeCell ref="A26:B26"/>
    <mergeCell ref="H21:H26"/>
    <mergeCell ref="A19:B19"/>
    <mergeCell ref="A20:B20"/>
    <mergeCell ref="A21:B21"/>
    <mergeCell ref="F21:F26"/>
    <mergeCell ref="G21:G26"/>
    <mergeCell ref="G17:O17"/>
    <mergeCell ref="A1:O1"/>
    <mergeCell ref="B3:E3"/>
    <mergeCell ref="B5:D5"/>
    <mergeCell ref="E5:F5"/>
    <mergeCell ref="G5:I5"/>
    <mergeCell ref="A7:B7"/>
    <mergeCell ref="C7:F7"/>
    <mergeCell ref="G7:K7"/>
    <mergeCell ref="A2:C2"/>
    <mergeCell ref="A17:B18"/>
    <mergeCell ref="C17:C18"/>
    <mergeCell ref="D17:D18"/>
    <mergeCell ref="E17:E18"/>
    <mergeCell ref="F17:F18"/>
  </mergeCells>
  <hyperlinks>
    <hyperlink ref="A2" location="'Fact Sheet of VDC'!A1" display="&lt;&lt;Back"/>
  </hyperlinks>
  <printOptions horizontalCentered="1" verticalCentered="1"/>
  <pageMargins left="0.19685039370078741" right="0.15748031496062992" top="0.55118110236220474" bottom="0.47244094488188981" header="0.51181102362204722" footer="0.51181102362204722"/>
  <pageSetup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zoomScale="80" workbookViewId="0">
      <selection activeCell="A3" sqref="A3:C3"/>
    </sheetView>
  </sheetViews>
  <sheetFormatPr defaultRowHeight="12.75"/>
  <cols>
    <col min="1" max="1" width="43.42578125" style="117" customWidth="1"/>
    <col min="2" max="2" width="11.5703125" style="117" customWidth="1"/>
    <col min="3" max="3" width="12.85546875" style="117" customWidth="1"/>
    <col min="4" max="4" width="10.85546875" style="117" customWidth="1"/>
    <col min="5" max="5" width="13.5703125" style="117" customWidth="1"/>
    <col min="6" max="6" width="14.140625" style="117" customWidth="1"/>
    <col min="7" max="7" width="12.42578125" style="117" customWidth="1"/>
    <col min="8" max="8" width="13.5703125" style="117" customWidth="1"/>
    <col min="9" max="9" width="13.28515625" style="117" customWidth="1"/>
    <col min="10" max="10" width="13.85546875" style="117" customWidth="1"/>
    <col min="11" max="11" width="12" style="117" customWidth="1"/>
    <col min="12" max="12" width="10.42578125" style="117" customWidth="1"/>
    <col min="13" max="13" width="11.42578125" style="117" bestFit="1" customWidth="1"/>
    <col min="14" max="14" width="9.5703125" style="117" customWidth="1"/>
    <col min="15" max="256" width="9.140625" style="117"/>
    <col min="257" max="257" width="43.42578125" style="117" customWidth="1"/>
    <col min="258" max="258" width="11.5703125" style="117" customWidth="1"/>
    <col min="259" max="259" width="12.85546875" style="117" customWidth="1"/>
    <col min="260" max="260" width="10.85546875" style="117" customWidth="1"/>
    <col min="261" max="261" width="13.5703125" style="117" customWidth="1"/>
    <col min="262" max="262" width="14.140625" style="117" customWidth="1"/>
    <col min="263" max="263" width="12.42578125" style="117" customWidth="1"/>
    <col min="264" max="264" width="13.5703125" style="117" customWidth="1"/>
    <col min="265" max="265" width="13.28515625" style="117" customWidth="1"/>
    <col min="266" max="266" width="13.85546875" style="117" customWidth="1"/>
    <col min="267" max="267" width="12" style="117" customWidth="1"/>
    <col min="268" max="268" width="10.42578125" style="117" customWidth="1"/>
    <col min="269" max="269" width="11.42578125" style="117" bestFit="1" customWidth="1"/>
    <col min="270" max="270" width="9.5703125" style="117" customWidth="1"/>
    <col min="271" max="512" width="9.140625" style="117"/>
    <col min="513" max="513" width="43.42578125" style="117" customWidth="1"/>
    <col min="514" max="514" width="11.5703125" style="117" customWidth="1"/>
    <col min="515" max="515" width="12.85546875" style="117" customWidth="1"/>
    <col min="516" max="516" width="10.85546875" style="117" customWidth="1"/>
    <col min="517" max="517" width="13.5703125" style="117" customWidth="1"/>
    <col min="518" max="518" width="14.140625" style="117" customWidth="1"/>
    <col min="519" max="519" width="12.42578125" style="117" customWidth="1"/>
    <col min="520" max="520" width="13.5703125" style="117" customWidth="1"/>
    <col min="521" max="521" width="13.28515625" style="117" customWidth="1"/>
    <col min="522" max="522" width="13.85546875" style="117" customWidth="1"/>
    <col min="523" max="523" width="12" style="117" customWidth="1"/>
    <col min="524" max="524" width="10.42578125" style="117" customWidth="1"/>
    <col min="525" max="525" width="11.42578125" style="117" bestFit="1" customWidth="1"/>
    <col min="526" max="526" width="9.5703125" style="117" customWidth="1"/>
    <col min="527" max="768" width="9.140625" style="117"/>
    <col min="769" max="769" width="43.42578125" style="117" customWidth="1"/>
    <col min="770" max="770" width="11.5703125" style="117" customWidth="1"/>
    <col min="771" max="771" width="12.85546875" style="117" customWidth="1"/>
    <col min="772" max="772" width="10.85546875" style="117" customWidth="1"/>
    <col min="773" max="773" width="13.5703125" style="117" customWidth="1"/>
    <col min="774" max="774" width="14.140625" style="117" customWidth="1"/>
    <col min="775" max="775" width="12.42578125" style="117" customWidth="1"/>
    <col min="776" max="776" width="13.5703125" style="117" customWidth="1"/>
    <col min="777" max="777" width="13.28515625" style="117" customWidth="1"/>
    <col min="778" max="778" width="13.85546875" style="117" customWidth="1"/>
    <col min="779" max="779" width="12" style="117" customWidth="1"/>
    <col min="780" max="780" width="10.42578125" style="117" customWidth="1"/>
    <col min="781" max="781" width="11.42578125" style="117" bestFit="1" customWidth="1"/>
    <col min="782" max="782" width="9.5703125" style="117" customWidth="1"/>
    <col min="783" max="1024" width="9.140625" style="117"/>
    <col min="1025" max="1025" width="43.42578125" style="117" customWidth="1"/>
    <col min="1026" max="1026" width="11.5703125" style="117" customWidth="1"/>
    <col min="1027" max="1027" width="12.85546875" style="117" customWidth="1"/>
    <col min="1028" max="1028" width="10.85546875" style="117" customWidth="1"/>
    <col min="1029" max="1029" width="13.5703125" style="117" customWidth="1"/>
    <col min="1030" max="1030" width="14.140625" style="117" customWidth="1"/>
    <col min="1031" max="1031" width="12.42578125" style="117" customWidth="1"/>
    <col min="1032" max="1032" width="13.5703125" style="117" customWidth="1"/>
    <col min="1033" max="1033" width="13.28515625" style="117" customWidth="1"/>
    <col min="1034" max="1034" width="13.85546875" style="117" customWidth="1"/>
    <col min="1035" max="1035" width="12" style="117" customWidth="1"/>
    <col min="1036" max="1036" width="10.42578125" style="117" customWidth="1"/>
    <col min="1037" max="1037" width="11.42578125" style="117" bestFit="1" customWidth="1"/>
    <col min="1038" max="1038" width="9.5703125" style="117" customWidth="1"/>
    <col min="1039" max="1280" width="9.140625" style="117"/>
    <col min="1281" max="1281" width="43.42578125" style="117" customWidth="1"/>
    <col min="1282" max="1282" width="11.5703125" style="117" customWidth="1"/>
    <col min="1283" max="1283" width="12.85546875" style="117" customWidth="1"/>
    <col min="1284" max="1284" width="10.85546875" style="117" customWidth="1"/>
    <col min="1285" max="1285" width="13.5703125" style="117" customWidth="1"/>
    <col min="1286" max="1286" width="14.140625" style="117" customWidth="1"/>
    <col min="1287" max="1287" width="12.42578125" style="117" customWidth="1"/>
    <col min="1288" max="1288" width="13.5703125" style="117" customWidth="1"/>
    <col min="1289" max="1289" width="13.28515625" style="117" customWidth="1"/>
    <col min="1290" max="1290" width="13.85546875" style="117" customWidth="1"/>
    <col min="1291" max="1291" width="12" style="117" customWidth="1"/>
    <col min="1292" max="1292" width="10.42578125" style="117" customWidth="1"/>
    <col min="1293" max="1293" width="11.42578125" style="117" bestFit="1" customWidth="1"/>
    <col min="1294" max="1294" width="9.5703125" style="117" customWidth="1"/>
    <col min="1295" max="1536" width="9.140625" style="117"/>
    <col min="1537" max="1537" width="43.42578125" style="117" customWidth="1"/>
    <col min="1538" max="1538" width="11.5703125" style="117" customWidth="1"/>
    <col min="1539" max="1539" width="12.85546875" style="117" customWidth="1"/>
    <col min="1540" max="1540" width="10.85546875" style="117" customWidth="1"/>
    <col min="1541" max="1541" width="13.5703125" style="117" customWidth="1"/>
    <col min="1542" max="1542" width="14.140625" style="117" customWidth="1"/>
    <col min="1543" max="1543" width="12.42578125" style="117" customWidth="1"/>
    <col min="1544" max="1544" width="13.5703125" style="117" customWidth="1"/>
    <col min="1545" max="1545" width="13.28515625" style="117" customWidth="1"/>
    <col min="1546" max="1546" width="13.85546875" style="117" customWidth="1"/>
    <col min="1547" max="1547" width="12" style="117" customWidth="1"/>
    <col min="1548" max="1548" width="10.42578125" style="117" customWidth="1"/>
    <col min="1549" max="1549" width="11.42578125" style="117" bestFit="1" customWidth="1"/>
    <col min="1550" max="1550" width="9.5703125" style="117" customWidth="1"/>
    <col min="1551" max="1792" width="9.140625" style="117"/>
    <col min="1793" max="1793" width="43.42578125" style="117" customWidth="1"/>
    <col min="1794" max="1794" width="11.5703125" style="117" customWidth="1"/>
    <col min="1795" max="1795" width="12.85546875" style="117" customWidth="1"/>
    <col min="1796" max="1796" width="10.85546875" style="117" customWidth="1"/>
    <col min="1797" max="1797" width="13.5703125" style="117" customWidth="1"/>
    <col min="1798" max="1798" width="14.140625" style="117" customWidth="1"/>
    <col min="1799" max="1799" width="12.42578125" style="117" customWidth="1"/>
    <col min="1800" max="1800" width="13.5703125" style="117" customWidth="1"/>
    <col min="1801" max="1801" width="13.28515625" style="117" customWidth="1"/>
    <col min="1802" max="1802" width="13.85546875" style="117" customWidth="1"/>
    <col min="1803" max="1803" width="12" style="117" customWidth="1"/>
    <col min="1804" max="1804" width="10.42578125" style="117" customWidth="1"/>
    <col min="1805" max="1805" width="11.42578125" style="117" bestFit="1" customWidth="1"/>
    <col min="1806" max="1806" width="9.5703125" style="117" customWidth="1"/>
    <col min="1807" max="2048" width="9.140625" style="117"/>
    <col min="2049" max="2049" width="43.42578125" style="117" customWidth="1"/>
    <col min="2050" max="2050" width="11.5703125" style="117" customWidth="1"/>
    <col min="2051" max="2051" width="12.85546875" style="117" customWidth="1"/>
    <col min="2052" max="2052" width="10.85546875" style="117" customWidth="1"/>
    <col min="2053" max="2053" width="13.5703125" style="117" customWidth="1"/>
    <col min="2054" max="2054" width="14.140625" style="117" customWidth="1"/>
    <col min="2055" max="2055" width="12.42578125" style="117" customWidth="1"/>
    <col min="2056" max="2056" width="13.5703125" style="117" customWidth="1"/>
    <col min="2057" max="2057" width="13.28515625" style="117" customWidth="1"/>
    <col min="2058" max="2058" width="13.85546875" style="117" customWidth="1"/>
    <col min="2059" max="2059" width="12" style="117" customWidth="1"/>
    <col min="2060" max="2060" width="10.42578125" style="117" customWidth="1"/>
    <col min="2061" max="2061" width="11.42578125" style="117" bestFit="1" customWidth="1"/>
    <col min="2062" max="2062" width="9.5703125" style="117" customWidth="1"/>
    <col min="2063" max="2304" width="9.140625" style="117"/>
    <col min="2305" max="2305" width="43.42578125" style="117" customWidth="1"/>
    <col min="2306" max="2306" width="11.5703125" style="117" customWidth="1"/>
    <col min="2307" max="2307" width="12.85546875" style="117" customWidth="1"/>
    <col min="2308" max="2308" width="10.85546875" style="117" customWidth="1"/>
    <col min="2309" max="2309" width="13.5703125" style="117" customWidth="1"/>
    <col min="2310" max="2310" width="14.140625" style="117" customWidth="1"/>
    <col min="2311" max="2311" width="12.42578125" style="117" customWidth="1"/>
    <col min="2312" max="2312" width="13.5703125" style="117" customWidth="1"/>
    <col min="2313" max="2313" width="13.28515625" style="117" customWidth="1"/>
    <col min="2314" max="2314" width="13.85546875" style="117" customWidth="1"/>
    <col min="2315" max="2315" width="12" style="117" customWidth="1"/>
    <col min="2316" max="2316" width="10.42578125" style="117" customWidth="1"/>
    <col min="2317" max="2317" width="11.42578125" style="117" bestFit="1" customWidth="1"/>
    <col min="2318" max="2318" width="9.5703125" style="117" customWidth="1"/>
    <col min="2319" max="2560" width="9.140625" style="117"/>
    <col min="2561" max="2561" width="43.42578125" style="117" customWidth="1"/>
    <col min="2562" max="2562" width="11.5703125" style="117" customWidth="1"/>
    <col min="2563" max="2563" width="12.85546875" style="117" customWidth="1"/>
    <col min="2564" max="2564" width="10.85546875" style="117" customWidth="1"/>
    <col min="2565" max="2565" width="13.5703125" style="117" customWidth="1"/>
    <col min="2566" max="2566" width="14.140625" style="117" customWidth="1"/>
    <col min="2567" max="2567" width="12.42578125" style="117" customWidth="1"/>
    <col min="2568" max="2568" width="13.5703125" style="117" customWidth="1"/>
    <col min="2569" max="2569" width="13.28515625" style="117" customWidth="1"/>
    <col min="2570" max="2570" width="13.85546875" style="117" customWidth="1"/>
    <col min="2571" max="2571" width="12" style="117" customWidth="1"/>
    <col min="2572" max="2572" width="10.42578125" style="117" customWidth="1"/>
    <col min="2573" max="2573" width="11.42578125" style="117" bestFit="1" customWidth="1"/>
    <col min="2574" max="2574" width="9.5703125" style="117" customWidth="1"/>
    <col min="2575" max="2816" width="9.140625" style="117"/>
    <col min="2817" max="2817" width="43.42578125" style="117" customWidth="1"/>
    <col min="2818" max="2818" width="11.5703125" style="117" customWidth="1"/>
    <col min="2819" max="2819" width="12.85546875" style="117" customWidth="1"/>
    <col min="2820" max="2820" width="10.85546875" style="117" customWidth="1"/>
    <col min="2821" max="2821" width="13.5703125" style="117" customWidth="1"/>
    <col min="2822" max="2822" width="14.140625" style="117" customWidth="1"/>
    <col min="2823" max="2823" width="12.42578125" style="117" customWidth="1"/>
    <col min="2824" max="2824" width="13.5703125" style="117" customWidth="1"/>
    <col min="2825" max="2825" width="13.28515625" style="117" customWidth="1"/>
    <col min="2826" max="2826" width="13.85546875" style="117" customWidth="1"/>
    <col min="2827" max="2827" width="12" style="117" customWidth="1"/>
    <col min="2828" max="2828" width="10.42578125" style="117" customWidth="1"/>
    <col min="2829" max="2829" width="11.42578125" style="117" bestFit="1" customWidth="1"/>
    <col min="2830" max="2830" width="9.5703125" style="117" customWidth="1"/>
    <col min="2831" max="3072" width="9.140625" style="117"/>
    <col min="3073" max="3073" width="43.42578125" style="117" customWidth="1"/>
    <col min="3074" max="3074" width="11.5703125" style="117" customWidth="1"/>
    <col min="3075" max="3075" width="12.85546875" style="117" customWidth="1"/>
    <col min="3076" max="3076" width="10.85546875" style="117" customWidth="1"/>
    <col min="3077" max="3077" width="13.5703125" style="117" customWidth="1"/>
    <col min="3078" max="3078" width="14.140625" style="117" customWidth="1"/>
    <col min="3079" max="3079" width="12.42578125" style="117" customWidth="1"/>
    <col min="3080" max="3080" width="13.5703125" style="117" customWidth="1"/>
    <col min="3081" max="3081" width="13.28515625" style="117" customWidth="1"/>
    <col min="3082" max="3082" width="13.85546875" style="117" customWidth="1"/>
    <col min="3083" max="3083" width="12" style="117" customWidth="1"/>
    <col min="3084" max="3084" width="10.42578125" style="117" customWidth="1"/>
    <col min="3085" max="3085" width="11.42578125" style="117" bestFit="1" customWidth="1"/>
    <col min="3086" max="3086" width="9.5703125" style="117" customWidth="1"/>
    <col min="3087" max="3328" width="9.140625" style="117"/>
    <col min="3329" max="3329" width="43.42578125" style="117" customWidth="1"/>
    <col min="3330" max="3330" width="11.5703125" style="117" customWidth="1"/>
    <col min="3331" max="3331" width="12.85546875" style="117" customWidth="1"/>
    <col min="3332" max="3332" width="10.85546875" style="117" customWidth="1"/>
    <col min="3333" max="3333" width="13.5703125" style="117" customWidth="1"/>
    <col min="3334" max="3334" width="14.140625" style="117" customWidth="1"/>
    <col min="3335" max="3335" width="12.42578125" style="117" customWidth="1"/>
    <col min="3336" max="3336" width="13.5703125" style="117" customWidth="1"/>
    <col min="3337" max="3337" width="13.28515625" style="117" customWidth="1"/>
    <col min="3338" max="3338" width="13.85546875" style="117" customWidth="1"/>
    <col min="3339" max="3339" width="12" style="117" customWidth="1"/>
    <col min="3340" max="3340" width="10.42578125" style="117" customWidth="1"/>
    <col min="3341" max="3341" width="11.42578125" style="117" bestFit="1" customWidth="1"/>
    <col min="3342" max="3342" width="9.5703125" style="117" customWidth="1"/>
    <col min="3343" max="3584" width="9.140625" style="117"/>
    <col min="3585" max="3585" width="43.42578125" style="117" customWidth="1"/>
    <col min="3586" max="3586" width="11.5703125" style="117" customWidth="1"/>
    <col min="3587" max="3587" width="12.85546875" style="117" customWidth="1"/>
    <col min="3588" max="3588" width="10.85546875" style="117" customWidth="1"/>
    <col min="3589" max="3589" width="13.5703125" style="117" customWidth="1"/>
    <col min="3590" max="3590" width="14.140625" style="117" customWidth="1"/>
    <col min="3591" max="3591" width="12.42578125" style="117" customWidth="1"/>
    <col min="3592" max="3592" width="13.5703125" style="117" customWidth="1"/>
    <col min="3593" max="3593" width="13.28515625" style="117" customWidth="1"/>
    <col min="3594" max="3594" width="13.85546875" style="117" customWidth="1"/>
    <col min="3595" max="3595" width="12" style="117" customWidth="1"/>
    <col min="3596" max="3596" width="10.42578125" style="117" customWidth="1"/>
    <col min="3597" max="3597" width="11.42578125" style="117" bestFit="1" customWidth="1"/>
    <col min="3598" max="3598" width="9.5703125" style="117" customWidth="1"/>
    <col min="3599" max="3840" width="9.140625" style="117"/>
    <col min="3841" max="3841" width="43.42578125" style="117" customWidth="1"/>
    <col min="3842" max="3842" width="11.5703125" style="117" customWidth="1"/>
    <col min="3843" max="3843" width="12.85546875" style="117" customWidth="1"/>
    <col min="3844" max="3844" width="10.85546875" style="117" customWidth="1"/>
    <col min="3845" max="3845" width="13.5703125" style="117" customWidth="1"/>
    <col min="3846" max="3846" width="14.140625" style="117" customWidth="1"/>
    <col min="3847" max="3847" width="12.42578125" style="117" customWidth="1"/>
    <col min="3848" max="3848" width="13.5703125" style="117" customWidth="1"/>
    <col min="3849" max="3849" width="13.28515625" style="117" customWidth="1"/>
    <col min="3850" max="3850" width="13.85546875" style="117" customWidth="1"/>
    <col min="3851" max="3851" width="12" style="117" customWidth="1"/>
    <col min="3852" max="3852" width="10.42578125" style="117" customWidth="1"/>
    <col min="3853" max="3853" width="11.42578125" style="117" bestFit="1" customWidth="1"/>
    <col min="3854" max="3854" width="9.5703125" style="117" customWidth="1"/>
    <col min="3855" max="4096" width="9.140625" style="117"/>
    <col min="4097" max="4097" width="43.42578125" style="117" customWidth="1"/>
    <col min="4098" max="4098" width="11.5703125" style="117" customWidth="1"/>
    <col min="4099" max="4099" width="12.85546875" style="117" customWidth="1"/>
    <col min="4100" max="4100" width="10.85546875" style="117" customWidth="1"/>
    <col min="4101" max="4101" width="13.5703125" style="117" customWidth="1"/>
    <col min="4102" max="4102" width="14.140625" style="117" customWidth="1"/>
    <col min="4103" max="4103" width="12.42578125" style="117" customWidth="1"/>
    <col min="4104" max="4104" width="13.5703125" style="117" customWidth="1"/>
    <col min="4105" max="4105" width="13.28515625" style="117" customWidth="1"/>
    <col min="4106" max="4106" width="13.85546875" style="117" customWidth="1"/>
    <col min="4107" max="4107" width="12" style="117" customWidth="1"/>
    <col min="4108" max="4108" width="10.42578125" style="117" customWidth="1"/>
    <col min="4109" max="4109" width="11.42578125" style="117" bestFit="1" customWidth="1"/>
    <col min="4110" max="4110" width="9.5703125" style="117" customWidth="1"/>
    <col min="4111" max="4352" width="9.140625" style="117"/>
    <col min="4353" max="4353" width="43.42578125" style="117" customWidth="1"/>
    <col min="4354" max="4354" width="11.5703125" style="117" customWidth="1"/>
    <col min="4355" max="4355" width="12.85546875" style="117" customWidth="1"/>
    <col min="4356" max="4356" width="10.85546875" style="117" customWidth="1"/>
    <col min="4357" max="4357" width="13.5703125" style="117" customWidth="1"/>
    <col min="4358" max="4358" width="14.140625" style="117" customWidth="1"/>
    <col min="4359" max="4359" width="12.42578125" style="117" customWidth="1"/>
    <col min="4360" max="4360" width="13.5703125" style="117" customWidth="1"/>
    <col min="4361" max="4361" width="13.28515625" style="117" customWidth="1"/>
    <col min="4362" max="4362" width="13.85546875" style="117" customWidth="1"/>
    <col min="4363" max="4363" width="12" style="117" customWidth="1"/>
    <col min="4364" max="4364" width="10.42578125" style="117" customWidth="1"/>
    <col min="4365" max="4365" width="11.42578125" style="117" bestFit="1" customWidth="1"/>
    <col min="4366" max="4366" width="9.5703125" style="117" customWidth="1"/>
    <col min="4367" max="4608" width="9.140625" style="117"/>
    <col min="4609" max="4609" width="43.42578125" style="117" customWidth="1"/>
    <col min="4610" max="4610" width="11.5703125" style="117" customWidth="1"/>
    <col min="4611" max="4611" width="12.85546875" style="117" customWidth="1"/>
    <col min="4612" max="4612" width="10.85546875" style="117" customWidth="1"/>
    <col min="4613" max="4613" width="13.5703125" style="117" customWidth="1"/>
    <col min="4614" max="4614" width="14.140625" style="117" customWidth="1"/>
    <col min="4615" max="4615" width="12.42578125" style="117" customWidth="1"/>
    <col min="4616" max="4616" width="13.5703125" style="117" customWidth="1"/>
    <col min="4617" max="4617" width="13.28515625" style="117" customWidth="1"/>
    <col min="4618" max="4618" width="13.85546875" style="117" customWidth="1"/>
    <col min="4619" max="4619" width="12" style="117" customWidth="1"/>
    <col min="4620" max="4620" width="10.42578125" style="117" customWidth="1"/>
    <col min="4621" max="4621" width="11.42578125" style="117" bestFit="1" customWidth="1"/>
    <col min="4622" max="4622" width="9.5703125" style="117" customWidth="1"/>
    <col min="4623" max="4864" width="9.140625" style="117"/>
    <col min="4865" max="4865" width="43.42578125" style="117" customWidth="1"/>
    <col min="4866" max="4866" width="11.5703125" style="117" customWidth="1"/>
    <col min="4867" max="4867" width="12.85546875" style="117" customWidth="1"/>
    <col min="4868" max="4868" width="10.85546875" style="117" customWidth="1"/>
    <col min="4869" max="4869" width="13.5703125" style="117" customWidth="1"/>
    <col min="4870" max="4870" width="14.140625" style="117" customWidth="1"/>
    <col min="4871" max="4871" width="12.42578125" style="117" customWidth="1"/>
    <col min="4872" max="4872" width="13.5703125" style="117" customWidth="1"/>
    <col min="4873" max="4873" width="13.28515625" style="117" customWidth="1"/>
    <col min="4874" max="4874" width="13.85546875" style="117" customWidth="1"/>
    <col min="4875" max="4875" width="12" style="117" customWidth="1"/>
    <col min="4876" max="4876" width="10.42578125" style="117" customWidth="1"/>
    <col min="4877" max="4877" width="11.42578125" style="117" bestFit="1" customWidth="1"/>
    <col min="4878" max="4878" width="9.5703125" style="117" customWidth="1"/>
    <col min="4879" max="5120" width="9.140625" style="117"/>
    <col min="5121" max="5121" width="43.42578125" style="117" customWidth="1"/>
    <col min="5122" max="5122" width="11.5703125" style="117" customWidth="1"/>
    <col min="5123" max="5123" width="12.85546875" style="117" customWidth="1"/>
    <col min="5124" max="5124" width="10.85546875" style="117" customWidth="1"/>
    <col min="5125" max="5125" width="13.5703125" style="117" customWidth="1"/>
    <col min="5126" max="5126" width="14.140625" style="117" customWidth="1"/>
    <col min="5127" max="5127" width="12.42578125" style="117" customWidth="1"/>
    <col min="5128" max="5128" width="13.5703125" style="117" customWidth="1"/>
    <col min="5129" max="5129" width="13.28515625" style="117" customWidth="1"/>
    <col min="5130" max="5130" width="13.85546875" style="117" customWidth="1"/>
    <col min="5131" max="5131" width="12" style="117" customWidth="1"/>
    <col min="5132" max="5132" width="10.42578125" style="117" customWidth="1"/>
    <col min="5133" max="5133" width="11.42578125" style="117" bestFit="1" customWidth="1"/>
    <col min="5134" max="5134" width="9.5703125" style="117" customWidth="1"/>
    <col min="5135" max="5376" width="9.140625" style="117"/>
    <col min="5377" max="5377" width="43.42578125" style="117" customWidth="1"/>
    <col min="5378" max="5378" width="11.5703125" style="117" customWidth="1"/>
    <col min="5379" max="5379" width="12.85546875" style="117" customWidth="1"/>
    <col min="5380" max="5380" width="10.85546875" style="117" customWidth="1"/>
    <col min="5381" max="5381" width="13.5703125" style="117" customWidth="1"/>
    <col min="5382" max="5382" width="14.140625" style="117" customWidth="1"/>
    <col min="5383" max="5383" width="12.42578125" style="117" customWidth="1"/>
    <col min="5384" max="5384" width="13.5703125" style="117" customWidth="1"/>
    <col min="5385" max="5385" width="13.28515625" style="117" customWidth="1"/>
    <col min="5386" max="5386" width="13.85546875" style="117" customWidth="1"/>
    <col min="5387" max="5387" width="12" style="117" customWidth="1"/>
    <col min="5388" max="5388" width="10.42578125" style="117" customWidth="1"/>
    <col min="5389" max="5389" width="11.42578125" style="117" bestFit="1" customWidth="1"/>
    <col min="5390" max="5390" width="9.5703125" style="117" customWidth="1"/>
    <col min="5391" max="5632" width="9.140625" style="117"/>
    <col min="5633" max="5633" width="43.42578125" style="117" customWidth="1"/>
    <col min="5634" max="5634" width="11.5703125" style="117" customWidth="1"/>
    <col min="5635" max="5635" width="12.85546875" style="117" customWidth="1"/>
    <col min="5636" max="5636" width="10.85546875" style="117" customWidth="1"/>
    <col min="5637" max="5637" width="13.5703125" style="117" customWidth="1"/>
    <col min="5638" max="5638" width="14.140625" style="117" customWidth="1"/>
    <col min="5639" max="5639" width="12.42578125" style="117" customWidth="1"/>
    <col min="5640" max="5640" width="13.5703125" style="117" customWidth="1"/>
    <col min="5641" max="5641" width="13.28515625" style="117" customWidth="1"/>
    <col min="5642" max="5642" width="13.85546875" style="117" customWidth="1"/>
    <col min="5643" max="5643" width="12" style="117" customWidth="1"/>
    <col min="5644" max="5644" width="10.42578125" style="117" customWidth="1"/>
    <col min="5645" max="5645" width="11.42578125" style="117" bestFit="1" customWidth="1"/>
    <col min="5646" max="5646" width="9.5703125" style="117" customWidth="1"/>
    <col min="5647" max="5888" width="9.140625" style="117"/>
    <col min="5889" max="5889" width="43.42578125" style="117" customWidth="1"/>
    <col min="5890" max="5890" width="11.5703125" style="117" customWidth="1"/>
    <col min="5891" max="5891" width="12.85546875" style="117" customWidth="1"/>
    <col min="5892" max="5892" width="10.85546875" style="117" customWidth="1"/>
    <col min="5893" max="5893" width="13.5703125" style="117" customWidth="1"/>
    <col min="5894" max="5894" width="14.140625" style="117" customWidth="1"/>
    <col min="5895" max="5895" width="12.42578125" style="117" customWidth="1"/>
    <col min="5896" max="5896" width="13.5703125" style="117" customWidth="1"/>
    <col min="5897" max="5897" width="13.28515625" style="117" customWidth="1"/>
    <col min="5898" max="5898" width="13.85546875" style="117" customWidth="1"/>
    <col min="5899" max="5899" width="12" style="117" customWidth="1"/>
    <col min="5900" max="5900" width="10.42578125" style="117" customWidth="1"/>
    <col min="5901" max="5901" width="11.42578125" style="117" bestFit="1" customWidth="1"/>
    <col min="5902" max="5902" width="9.5703125" style="117" customWidth="1"/>
    <col min="5903" max="6144" width="9.140625" style="117"/>
    <col min="6145" max="6145" width="43.42578125" style="117" customWidth="1"/>
    <col min="6146" max="6146" width="11.5703125" style="117" customWidth="1"/>
    <col min="6147" max="6147" width="12.85546875" style="117" customWidth="1"/>
    <col min="6148" max="6148" width="10.85546875" style="117" customWidth="1"/>
    <col min="6149" max="6149" width="13.5703125" style="117" customWidth="1"/>
    <col min="6150" max="6150" width="14.140625" style="117" customWidth="1"/>
    <col min="6151" max="6151" width="12.42578125" style="117" customWidth="1"/>
    <col min="6152" max="6152" width="13.5703125" style="117" customWidth="1"/>
    <col min="6153" max="6153" width="13.28515625" style="117" customWidth="1"/>
    <col min="6154" max="6154" width="13.85546875" style="117" customWidth="1"/>
    <col min="6155" max="6155" width="12" style="117" customWidth="1"/>
    <col min="6156" max="6156" width="10.42578125" style="117" customWidth="1"/>
    <col min="6157" max="6157" width="11.42578125" style="117" bestFit="1" customWidth="1"/>
    <col min="6158" max="6158" width="9.5703125" style="117" customWidth="1"/>
    <col min="6159" max="6400" width="9.140625" style="117"/>
    <col min="6401" max="6401" width="43.42578125" style="117" customWidth="1"/>
    <col min="6402" max="6402" width="11.5703125" style="117" customWidth="1"/>
    <col min="6403" max="6403" width="12.85546875" style="117" customWidth="1"/>
    <col min="6404" max="6404" width="10.85546875" style="117" customWidth="1"/>
    <col min="6405" max="6405" width="13.5703125" style="117" customWidth="1"/>
    <col min="6406" max="6406" width="14.140625" style="117" customWidth="1"/>
    <col min="6407" max="6407" width="12.42578125" style="117" customWidth="1"/>
    <col min="6408" max="6408" width="13.5703125" style="117" customWidth="1"/>
    <col min="6409" max="6409" width="13.28515625" style="117" customWidth="1"/>
    <col min="6410" max="6410" width="13.85546875" style="117" customWidth="1"/>
    <col min="6411" max="6411" width="12" style="117" customWidth="1"/>
    <col min="6412" max="6412" width="10.42578125" style="117" customWidth="1"/>
    <col min="6413" max="6413" width="11.42578125" style="117" bestFit="1" customWidth="1"/>
    <col min="6414" max="6414" width="9.5703125" style="117" customWidth="1"/>
    <col min="6415" max="6656" width="9.140625" style="117"/>
    <col min="6657" max="6657" width="43.42578125" style="117" customWidth="1"/>
    <col min="6658" max="6658" width="11.5703125" style="117" customWidth="1"/>
    <col min="6659" max="6659" width="12.85546875" style="117" customWidth="1"/>
    <col min="6660" max="6660" width="10.85546875" style="117" customWidth="1"/>
    <col min="6661" max="6661" width="13.5703125" style="117" customWidth="1"/>
    <col min="6662" max="6662" width="14.140625" style="117" customWidth="1"/>
    <col min="6663" max="6663" width="12.42578125" style="117" customWidth="1"/>
    <col min="6664" max="6664" width="13.5703125" style="117" customWidth="1"/>
    <col min="6665" max="6665" width="13.28515625" style="117" customWidth="1"/>
    <col min="6666" max="6666" width="13.85546875" style="117" customWidth="1"/>
    <col min="6667" max="6667" width="12" style="117" customWidth="1"/>
    <col min="6668" max="6668" width="10.42578125" style="117" customWidth="1"/>
    <col min="6669" max="6669" width="11.42578125" style="117" bestFit="1" customWidth="1"/>
    <col min="6670" max="6670" width="9.5703125" style="117" customWidth="1"/>
    <col min="6671" max="6912" width="9.140625" style="117"/>
    <col min="6913" max="6913" width="43.42578125" style="117" customWidth="1"/>
    <col min="6914" max="6914" width="11.5703125" style="117" customWidth="1"/>
    <col min="6915" max="6915" width="12.85546875" style="117" customWidth="1"/>
    <col min="6916" max="6916" width="10.85546875" style="117" customWidth="1"/>
    <col min="6917" max="6917" width="13.5703125" style="117" customWidth="1"/>
    <col min="6918" max="6918" width="14.140625" style="117" customWidth="1"/>
    <col min="6919" max="6919" width="12.42578125" style="117" customWidth="1"/>
    <col min="6920" max="6920" width="13.5703125" style="117" customWidth="1"/>
    <col min="6921" max="6921" width="13.28515625" style="117" customWidth="1"/>
    <col min="6922" max="6922" width="13.85546875" style="117" customWidth="1"/>
    <col min="6923" max="6923" width="12" style="117" customWidth="1"/>
    <col min="6924" max="6924" width="10.42578125" style="117" customWidth="1"/>
    <col min="6925" max="6925" width="11.42578125" style="117" bestFit="1" customWidth="1"/>
    <col min="6926" max="6926" width="9.5703125" style="117" customWidth="1"/>
    <col min="6927" max="7168" width="9.140625" style="117"/>
    <col min="7169" max="7169" width="43.42578125" style="117" customWidth="1"/>
    <col min="7170" max="7170" width="11.5703125" style="117" customWidth="1"/>
    <col min="7171" max="7171" width="12.85546875" style="117" customWidth="1"/>
    <col min="7172" max="7172" width="10.85546875" style="117" customWidth="1"/>
    <col min="7173" max="7173" width="13.5703125" style="117" customWidth="1"/>
    <col min="7174" max="7174" width="14.140625" style="117" customWidth="1"/>
    <col min="7175" max="7175" width="12.42578125" style="117" customWidth="1"/>
    <col min="7176" max="7176" width="13.5703125" style="117" customWidth="1"/>
    <col min="7177" max="7177" width="13.28515625" style="117" customWidth="1"/>
    <col min="7178" max="7178" width="13.85546875" style="117" customWidth="1"/>
    <col min="7179" max="7179" width="12" style="117" customWidth="1"/>
    <col min="7180" max="7180" width="10.42578125" style="117" customWidth="1"/>
    <col min="7181" max="7181" width="11.42578125" style="117" bestFit="1" customWidth="1"/>
    <col min="7182" max="7182" width="9.5703125" style="117" customWidth="1"/>
    <col min="7183" max="7424" width="9.140625" style="117"/>
    <col min="7425" max="7425" width="43.42578125" style="117" customWidth="1"/>
    <col min="7426" max="7426" width="11.5703125" style="117" customWidth="1"/>
    <col min="7427" max="7427" width="12.85546875" style="117" customWidth="1"/>
    <col min="7428" max="7428" width="10.85546875" style="117" customWidth="1"/>
    <col min="7429" max="7429" width="13.5703125" style="117" customWidth="1"/>
    <col min="7430" max="7430" width="14.140625" style="117" customWidth="1"/>
    <col min="7431" max="7431" width="12.42578125" style="117" customWidth="1"/>
    <col min="7432" max="7432" width="13.5703125" style="117" customWidth="1"/>
    <col min="7433" max="7433" width="13.28515625" style="117" customWidth="1"/>
    <col min="7434" max="7434" width="13.85546875" style="117" customWidth="1"/>
    <col min="7435" max="7435" width="12" style="117" customWidth="1"/>
    <col min="7436" max="7436" width="10.42578125" style="117" customWidth="1"/>
    <col min="7437" max="7437" width="11.42578125" style="117" bestFit="1" customWidth="1"/>
    <col min="7438" max="7438" width="9.5703125" style="117" customWidth="1"/>
    <col min="7439" max="7680" width="9.140625" style="117"/>
    <col min="7681" max="7681" width="43.42578125" style="117" customWidth="1"/>
    <col min="7682" max="7682" width="11.5703125" style="117" customWidth="1"/>
    <col min="7683" max="7683" width="12.85546875" style="117" customWidth="1"/>
    <col min="7684" max="7684" width="10.85546875" style="117" customWidth="1"/>
    <col min="7685" max="7685" width="13.5703125" style="117" customWidth="1"/>
    <col min="7686" max="7686" width="14.140625" style="117" customWidth="1"/>
    <col min="7687" max="7687" width="12.42578125" style="117" customWidth="1"/>
    <col min="7688" max="7688" width="13.5703125" style="117" customWidth="1"/>
    <col min="7689" max="7689" width="13.28515625" style="117" customWidth="1"/>
    <col min="7690" max="7690" width="13.85546875" style="117" customWidth="1"/>
    <col min="7691" max="7691" width="12" style="117" customWidth="1"/>
    <col min="7692" max="7692" width="10.42578125" style="117" customWidth="1"/>
    <col min="7693" max="7693" width="11.42578125" style="117" bestFit="1" customWidth="1"/>
    <col min="7694" max="7694" width="9.5703125" style="117" customWidth="1"/>
    <col min="7695" max="7936" width="9.140625" style="117"/>
    <col min="7937" max="7937" width="43.42578125" style="117" customWidth="1"/>
    <col min="7938" max="7938" width="11.5703125" style="117" customWidth="1"/>
    <col min="7939" max="7939" width="12.85546875" style="117" customWidth="1"/>
    <col min="7940" max="7940" width="10.85546875" style="117" customWidth="1"/>
    <col min="7941" max="7941" width="13.5703125" style="117" customWidth="1"/>
    <col min="7942" max="7942" width="14.140625" style="117" customWidth="1"/>
    <col min="7943" max="7943" width="12.42578125" style="117" customWidth="1"/>
    <col min="7944" max="7944" width="13.5703125" style="117" customWidth="1"/>
    <col min="7945" max="7945" width="13.28515625" style="117" customWidth="1"/>
    <col min="7946" max="7946" width="13.85546875" style="117" customWidth="1"/>
    <col min="7947" max="7947" width="12" style="117" customWidth="1"/>
    <col min="7948" max="7948" width="10.42578125" style="117" customWidth="1"/>
    <col min="7949" max="7949" width="11.42578125" style="117" bestFit="1" customWidth="1"/>
    <col min="7950" max="7950" width="9.5703125" style="117" customWidth="1"/>
    <col min="7951" max="8192" width="9.140625" style="117"/>
    <col min="8193" max="8193" width="43.42578125" style="117" customWidth="1"/>
    <col min="8194" max="8194" width="11.5703125" style="117" customWidth="1"/>
    <col min="8195" max="8195" width="12.85546875" style="117" customWidth="1"/>
    <col min="8196" max="8196" width="10.85546875" style="117" customWidth="1"/>
    <col min="8197" max="8197" width="13.5703125" style="117" customWidth="1"/>
    <col min="8198" max="8198" width="14.140625" style="117" customWidth="1"/>
    <col min="8199" max="8199" width="12.42578125" style="117" customWidth="1"/>
    <col min="8200" max="8200" width="13.5703125" style="117" customWidth="1"/>
    <col min="8201" max="8201" width="13.28515625" style="117" customWidth="1"/>
    <col min="8202" max="8202" width="13.85546875" style="117" customWidth="1"/>
    <col min="8203" max="8203" width="12" style="117" customWidth="1"/>
    <col min="8204" max="8204" width="10.42578125" style="117" customWidth="1"/>
    <col min="8205" max="8205" width="11.42578125" style="117" bestFit="1" customWidth="1"/>
    <col min="8206" max="8206" width="9.5703125" style="117" customWidth="1"/>
    <col min="8207" max="8448" width="9.140625" style="117"/>
    <col min="8449" max="8449" width="43.42578125" style="117" customWidth="1"/>
    <col min="8450" max="8450" width="11.5703125" style="117" customWidth="1"/>
    <col min="8451" max="8451" width="12.85546875" style="117" customWidth="1"/>
    <col min="8452" max="8452" width="10.85546875" style="117" customWidth="1"/>
    <col min="8453" max="8453" width="13.5703125" style="117" customWidth="1"/>
    <col min="8454" max="8454" width="14.140625" style="117" customWidth="1"/>
    <col min="8455" max="8455" width="12.42578125" style="117" customWidth="1"/>
    <col min="8456" max="8456" width="13.5703125" style="117" customWidth="1"/>
    <col min="8457" max="8457" width="13.28515625" style="117" customWidth="1"/>
    <col min="8458" max="8458" width="13.85546875" style="117" customWidth="1"/>
    <col min="8459" max="8459" width="12" style="117" customWidth="1"/>
    <col min="8460" max="8460" width="10.42578125" style="117" customWidth="1"/>
    <col min="8461" max="8461" width="11.42578125" style="117" bestFit="1" customWidth="1"/>
    <col min="8462" max="8462" width="9.5703125" style="117" customWidth="1"/>
    <col min="8463" max="8704" width="9.140625" style="117"/>
    <col min="8705" max="8705" width="43.42578125" style="117" customWidth="1"/>
    <col min="8706" max="8706" width="11.5703125" style="117" customWidth="1"/>
    <col min="8707" max="8707" width="12.85546875" style="117" customWidth="1"/>
    <col min="8708" max="8708" width="10.85546875" style="117" customWidth="1"/>
    <col min="8709" max="8709" width="13.5703125" style="117" customWidth="1"/>
    <col min="8710" max="8710" width="14.140625" style="117" customWidth="1"/>
    <col min="8711" max="8711" width="12.42578125" style="117" customWidth="1"/>
    <col min="8712" max="8712" width="13.5703125" style="117" customWidth="1"/>
    <col min="8713" max="8713" width="13.28515625" style="117" customWidth="1"/>
    <col min="8714" max="8714" width="13.85546875" style="117" customWidth="1"/>
    <col min="8715" max="8715" width="12" style="117" customWidth="1"/>
    <col min="8716" max="8716" width="10.42578125" style="117" customWidth="1"/>
    <col min="8717" max="8717" width="11.42578125" style="117" bestFit="1" customWidth="1"/>
    <col min="8718" max="8718" width="9.5703125" style="117" customWidth="1"/>
    <col min="8719" max="8960" width="9.140625" style="117"/>
    <col min="8961" max="8961" width="43.42578125" style="117" customWidth="1"/>
    <col min="8962" max="8962" width="11.5703125" style="117" customWidth="1"/>
    <col min="8963" max="8963" width="12.85546875" style="117" customWidth="1"/>
    <col min="8964" max="8964" width="10.85546875" style="117" customWidth="1"/>
    <col min="8965" max="8965" width="13.5703125" style="117" customWidth="1"/>
    <col min="8966" max="8966" width="14.140625" style="117" customWidth="1"/>
    <col min="8967" max="8967" width="12.42578125" style="117" customWidth="1"/>
    <col min="8968" max="8968" width="13.5703125" style="117" customWidth="1"/>
    <col min="8969" max="8969" width="13.28515625" style="117" customWidth="1"/>
    <col min="8970" max="8970" width="13.85546875" style="117" customWidth="1"/>
    <col min="8971" max="8971" width="12" style="117" customWidth="1"/>
    <col min="8972" max="8972" width="10.42578125" style="117" customWidth="1"/>
    <col min="8973" max="8973" width="11.42578125" style="117" bestFit="1" customWidth="1"/>
    <col min="8974" max="8974" width="9.5703125" style="117" customWidth="1"/>
    <col min="8975" max="9216" width="9.140625" style="117"/>
    <col min="9217" max="9217" width="43.42578125" style="117" customWidth="1"/>
    <col min="9218" max="9218" width="11.5703125" style="117" customWidth="1"/>
    <col min="9219" max="9219" width="12.85546875" style="117" customWidth="1"/>
    <col min="9220" max="9220" width="10.85546875" style="117" customWidth="1"/>
    <col min="9221" max="9221" width="13.5703125" style="117" customWidth="1"/>
    <col min="9222" max="9222" width="14.140625" style="117" customWidth="1"/>
    <col min="9223" max="9223" width="12.42578125" style="117" customWidth="1"/>
    <col min="9224" max="9224" width="13.5703125" style="117" customWidth="1"/>
    <col min="9225" max="9225" width="13.28515625" style="117" customWidth="1"/>
    <col min="9226" max="9226" width="13.85546875" style="117" customWidth="1"/>
    <col min="9227" max="9227" width="12" style="117" customWidth="1"/>
    <col min="9228" max="9228" width="10.42578125" style="117" customWidth="1"/>
    <col min="9229" max="9229" width="11.42578125" style="117" bestFit="1" customWidth="1"/>
    <col min="9230" max="9230" width="9.5703125" style="117" customWidth="1"/>
    <col min="9231" max="9472" width="9.140625" style="117"/>
    <col min="9473" max="9473" width="43.42578125" style="117" customWidth="1"/>
    <col min="9474" max="9474" width="11.5703125" style="117" customWidth="1"/>
    <col min="9475" max="9475" width="12.85546875" style="117" customWidth="1"/>
    <col min="9476" max="9476" width="10.85546875" style="117" customWidth="1"/>
    <col min="9477" max="9477" width="13.5703125" style="117" customWidth="1"/>
    <col min="9478" max="9478" width="14.140625" style="117" customWidth="1"/>
    <col min="9479" max="9479" width="12.42578125" style="117" customWidth="1"/>
    <col min="9480" max="9480" width="13.5703125" style="117" customWidth="1"/>
    <col min="9481" max="9481" width="13.28515625" style="117" customWidth="1"/>
    <col min="9482" max="9482" width="13.85546875" style="117" customWidth="1"/>
    <col min="9483" max="9483" width="12" style="117" customWidth="1"/>
    <col min="9484" max="9484" width="10.42578125" style="117" customWidth="1"/>
    <col min="9485" max="9485" width="11.42578125" style="117" bestFit="1" customWidth="1"/>
    <col min="9486" max="9486" width="9.5703125" style="117" customWidth="1"/>
    <col min="9487" max="9728" width="9.140625" style="117"/>
    <col min="9729" max="9729" width="43.42578125" style="117" customWidth="1"/>
    <col min="9730" max="9730" width="11.5703125" style="117" customWidth="1"/>
    <col min="9731" max="9731" width="12.85546875" style="117" customWidth="1"/>
    <col min="9732" max="9732" width="10.85546875" style="117" customWidth="1"/>
    <col min="9733" max="9733" width="13.5703125" style="117" customWidth="1"/>
    <col min="9734" max="9734" width="14.140625" style="117" customWidth="1"/>
    <col min="9735" max="9735" width="12.42578125" style="117" customWidth="1"/>
    <col min="9736" max="9736" width="13.5703125" style="117" customWidth="1"/>
    <col min="9737" max="9737" width="13.28515625" style="117" customWidth="1"/>
    <col min="9738" max="9738" width="13.85546875" style="117" customWidth="1"/>
    <col min="9739" max="9739" width="12" style="117" customWidth="1"/>
    <col min="9740" max="9740" width="10.42578125" style="117" customWidth="1"/>
    <col min="9741" max="9741" width="11.42578125" style="117" bestFit="1" customWidth="1"/>
    <col min="9742" max="9742" width="9.5703125" style="117" customWidth="1"/>
    <col min="9743" max="9984" width="9.140625" style="117"/>
    <col min="9985" max="9985" width="43.42578125" style="117" customWidth="1"/>
    <col min="9986" max="9986" width="11.5703125" style="117" customWidth="1"/>
    <col min="9987" max="9987" width="12.85546875" style="117" customWidth="1"/>
    <col min="9988" max="9988" width="10.85546875" style="117" customWidth="1"/>
    <col min="9989" max="9989" width="13.5703125" style="117" customWidth="1"/>
    <col min="9990" max="9990" width="14.140625" style="117" customWidth="1"/>
    <col min="9991" max="9991" width="12.42578125" style="117" customWidth="1"/>
    <col min="9992" max="9992" width="13.5703125" style="117" customWidth="1"/>
    <col min="9993" max="9993" width="13.28515625" style="117" customWidth="1"/>
    <col min="9994" max="9994" width="13.85546875" style="117" customWidth="1"/>
    <col min="9995" max="9995" width="12" style="117" customWidth="1"/>
    <col min="9996" max="9996" width="10.42578125" style="117" customWidth="1"/>
    <col min="9997" max="9997" width="11.42578125" style="117" bestFit="1" customWidth="1"/>
    <col min="9998" max="9998" width="9.5703125" style="117" customWidth="1"/>
    <col min="9999" max="10240" width="9.140625" style="117"/>
    <col min="10241" max="10241" width="43.42578125" style="117" customWidth="1"/>
    <col min="10242" max="10242" width="11.5703125" style="117" customWidth="1"/>
    <col min="10243" max="10243" width="12.85546875" style="117" customWidth="1"/>
    <col min="10244" max="10244" width="10.85546875" style="117" customWidth="1"/>
    <col min="10245" max="10245" width="13.5703125" style="117" customWidth="1"/>
    <col min="10246" max="10246" width="14.140625" style="117" customWidth="1"/>
    <col min="10247" max="10247" width="12.42578125" style="117" customWidth="1"/>
    <col min="10248" max="10248" width="13.5703125" style="117" customWidth="1"/>
    <col min="10249" max="10249" width="13.28515625" style="117" customWidth="1"/>
    <col min="10250" max="10250" width="13.85546875" style="117" customWidth="1"/>
    <col min="10251" max="10251" width="12" style="117" customWidth="1"/>
    <col min="10252" max="10252" width="10.42578125" style="117" customWidth="1"/>
    <col min="10253" max="10253" width="11.42578125" style="117" bestFit="1" customWidth="1"/>
    <col min="10254" max="10254" width="9.5703125" style="117" customWidth="1"/>
    <col min="10255" max="10496" width="9.140625" style="117"/>
    <col min="10497" max="10497" width="43.42578125" style="117" customWidth="1"/>
    <col min="10498" max="10498" width="11.5703125" style="117" customWidth="1"/>
    <col min="10499" max="10499" width="12.85546875" style="117" customWidth="1"/>
    <col min="10500" max="10500" width="10.85546875" style="117" customWidth="1"/>
    <col min="10501" max="10501" width="13.5703125" style="117" customWidth="1"/>
    <col min="10502" max="10502" width="14.140625" style="117" customWidth="1"/>
    <col min="10503" max="10503" width="12.42578125" style="117" customWidth="1"/>
    <col min="10504" max="10504" width="13.5703125" style="117" customWidth="1"/>
    <col min="10505" max="10505" width="13.28515625" style="117" customWidth="1"/>
    <col min="10506" max="10506" width="13.85546875" style="117" customWidth="1"/>
    <col min="10507" max="10507" width="12" style="117" customWidth="1"/>
    <col min="10508" max="10508" width="10.42578125" style="117" customWidth="1"/>
    <col min="10509" max="10509" width="11.42578125" style="117" bestFit="1" customWidth="1"/>
    <col min="10510" max="10510" width="9.5703125" style="117" customWidth="1"/>
    <col min="10511" max="10752" width="9.140625" style="117"/>
    <col min="10753" max="10753" width="43.42578125" style="117" customWidth="1"/>
    <col min="10754" max="10754" width="11.5703125" style="117" customWidth="1"/>
    <col min="10755" max="10755" width="12.85546875" style="117" customWidth="1"/>
    <col min="10756" max="10756" width="10.85546875" style="117" customWidth="1"/>
    <col min="10757" max="10757" width="13.5703125" style="117" customWidth="1"/>
    <col min="10758" max="10758" width="14.140625" style="117" customWidth="1"/>
    <col min="10759" max="10759" width="12.42578125" style="117" customWidth="1"/>
    <col min="10760" max="10760" width="13.5703125" style="117" customWidth="1"/>
    <col min="10761" max="10761" width="13.28515625" style="117" customWidth="1"/>
    <col min="10762" max="10762" width="13.85546875" style="117" customWidth="1"/>
    <col min="10763" max="10763" width="12" style="117" customWidth="1"/>
    <col min="10764" max="10764" width="10.42578125" style="117" customWidth="1"/>
    <col min="10765" max="10765" width="11.42578125" style="117" bestFit="1" customWidth="1"/>
    <col min="10766" max="10766" width="9.5703125" style="117" customWidth="1"/>
    <col min="10767" max="11008" width="9.140625" style="117"/>
    <col min="11009" max="11009" width="43.42578125" style="117" customWidth="1"/>
    <col min="11010" max="11010" width="11.5703125" style="117" customWidth="1"/>
    <col min="11011" max="11011" width="12.85546875" style="117" customWidth="1"/>
    <col min="11012" max="11012" width="10.85546875" style="117" customWidth="1"/>
    <col min="11013" max="11013" width="13.5703125" style="117" customWidth="1"/>
    <col min="11014" max="11014" width="14.140625" style="117" customWidth="1"/>
    <col min="11015" max="11015" width="12.42578125" style="117" customWidth="1"/>
    <col min="11016" max="11016" width="13.5703125" style="117" customWidth="1"/>
    <col min="11017" max="11017" width="13.28515625" style="117" customWidth="1"/>
    <col min="11018" max="11018" width="13.85546875" style="117" customWidth="1"/>
    <col min="11019" max="11019" width="12" style="117" customWidth="1"/>
    <col min="11020" max="11020" width="10.42578125" style="117" customWidth="1"/>
    <col min="11021" max="11021" width="11.42578125" style="117" bestFit="1" customWidth="1"/>
    <col min="11022" max="11022" width="9.5703125" style="117" customWidth="1"/>
    <col min="11023" max="11264" width="9.140625" style="117"/>
    <col min="11265" max="11265" width="43.42578125" style="117" customWidth="1"/>
    <col min="11266" max="11266" width="11.5703125" style="117" customWidth="1"/>
    <col min="11267" max="11267" width="12.85546875" style="117" customWidth="1"/>
    <col min="11268" max="11268" width="10.85546875" style="117" customWidth="1"/>
    <col min="11269" max="11269" width="13.5703125" style="117" customWidth="1"/>
    <col min="11270" max="11270" width="14.140625" style="117" customWidth="1"/>
    <col min="11271" max="11271" width="12.42578125" style="117" customWidth="1"/>
    <col min="11272" max="11272" width="13.5703125" style="117" customWidth="1"/>
    <col min="11273" max="11273" width="13.28515625" style="117" customWidth="1"/>
    <col min="11274" max="11274" width="13.85546875" style="117" customWidth="1"/>
    <col min="11275" max="11275" width="12" style="117" customWidth="1"/>
    <col min="11276" max="11276" width="10.42578125" style="117" customWidth="1"/>
    <col min="11277" max="11277" width="11.42578125" style="117" bestFit="1" customWidth="1"/>
    <col min="11278" max="11278" width="9.5703125" style="117" customWidth="1"/>
    <col min="11279" max="11520" width="9.140625" style="117"/>
    <col min="11521" max="11521" width="43.42578125" style="117" customWidth="1"/>
    <col min="11522" max="11522" width="11.5703125" style="117" customWidth="1"/>
    <col min="11523" max="11523" width="12.85546875" style="117" customWidth="1"/>
    <col min="11524" max="11524" width="10.85546875" style="117" customWidth="1"/>
    <col min="11525" max="11525" width="13.5703125" style="117" customWidth="1"/>
    <col min="11526" max="11526" width="14.140625" style="117" customWidth="1"/>
    <col min="11527" max="11527" width="12.42578125" style="117" customWidth="1"/>
    <col min="11528" max="11528" width="13.5703125" style="117" customWidth="1"/>
    <col min="11529" max="11529" width="13.28515625" style="117" customWidth="1"/>
    <col min="11530" max="11530" width="13.85546875" style="117" customWidth="1"/>
    <col min="11531" max="11531" width="12" style="117" customWidth="1"/>
    <col min="11532" max="11532" width="10.42578125" style="117" customWidth="1"/>
    <col min="11533" max="11533" width="11.42578125" style="117" bestFit="1" customWidth="1"/>
    <col min="11534" max="11534" width="9.5703125" style="117" customWidth="1"/>
    <col min="11535" max="11776" width="9.140625" style="117"/>
    <col min="11777" max="11777" width="43.42578125" style="117" customWidth="1"/>
    <col min="11778" max="11778" width="11.5703125" style="117" customWidth="1"/>
    <col min="11779" max="11779" width="12.85546875" style="117" customWidth="1"/>
    <col min="11780" max="11780" width="10.85546875" style="117" customWidth="1"/>
    <col min="11781" max="11781" width="13.5703125" style="117" customWidth="1"/>
    <col min="11782" max="11782" width="14.140625" style="117" customWidth="1"/>
    <col min="11783" max="11783" width="12.42578125" style="117" customWidth="1"/>
    <col min="11784" max="11784" width="13.5703125" style="117" customWidth="1"/>
    <col min="11785" max="11785" width="13.28515625" style="117" customWidth="1"/>
    <col min="11786" max="11786" width="13.85546875" style="117" customWidth="1"/>
    <col min="11787" max="11787" width="12" style="117" customWidth="1"/>
    <col min="11788" max="11788" width="10.42578125" style="117" customWidth="1"/>
    <col min="11789" max="11789" width="11.42578125" style="117" bestFit="1" customWidth="1"/>
    <col min="11790" max="11790" width="9.5703125" style="117" customWidth="1"/>
    <col min="11791" max="12032" width="9.140625" style="117"/>
    <col min="12033" max="12033" width="43.42578125" style="117" customWidth="1"/>
    <col min="12034" max="12034" width="11.5703125" style="117" customWidth="1"/>
    <col min="12035" max="12035" width="12.85546875" style="117" customWidth="1"/>
    <col min="12036" max="12036" width="10.85546875" style="117" customWidth="1"/>
    <col min="12037" max="12037" width="13.5703125" style="117" customWidth="1"/>
    <col min="12038" max="12038" width="14.140625" style="117" customWidth="1"/>
    <col min="12039" max="12039" width="12.42578125" style="117" customWidth="1"/>
    <col min="12040" max="12040" width="13.5703125" style="117" customWidth="1"/>
    <col min="12041" max="12041" width="13.28515625" style="117" customWidth="1"/>
    <col min="12042" max="12042" width="13.85546875" style="117" customWidth="1"/>
    <col min="12043" max="12043" width="12" style="117" customWidth="1"/>
    <col min="12044" max="12044" width="10.42578125" style="117" customWidth="1"/>
    <col min="12045" max="12045" width="11.42578125" style="117" bestFit="1" customWidth="1"/>
    <col min="12046" max="12046" width="9.5703125" style="117" customWidth="1"/>
    <col min="12047" max="12288" width="9.140625" style="117"/>
    <col min="12289" max="12289" width="43.42578125" style="117" customWidth="1"/>
    <col min="12290" max="12290" width="11.5703125" style="117" customWidth="1"/>
    <col min="12291" max="12291" width="12.85546875" style="117" customWidth="1"/>
    <col min="12292" max="12292" width="10.85546875" style="117" customWidth="1"/>
    <col min="12293" max="12293" width="13.5703125" style="117" customWidth="1"/>
    <col min="12294" max="12294" width="14.140625" style="117" customWidth="1"/>
    <col min="12295" max="12295" width="12.42578125" style="117" customWidth="1"/>
    <col min="12296" max="12296" width="13.5703125" style="117" customWidth="1"/>
    <col min="12297" max="12297" width="13.28515625" style="117" customWidth="1"/>
    <col min="12298" max="12298" width="13.85546875" style="117" customWidth="1"/>
    <col min="12299" max="12299" width="12" style="117" customWidth="1"/>
    <col min="12300" max="12300" width="10.42578125" style="117" customWidth="1"/>
    <col min="12301" max="12301" width="11.42578125" style="117" bestFit="1" customWidth="1"/>
    <col min="12302" max="12302" width="9.5703125" style="117" customWidth="1"/>
    <col min="12303" max="12544" width="9.140625" style="117"/>
    <col min="12545" max="12545" width="43.42578125" style="117" customWidth="1"/>
    <col min="12546" max="12546" width="11.5703125" style="117" customWidth="1"/>
    <col min="12547" max="12547" width="12.85546875" style="117" customWidth="1"/>
    <col min="12548" max="12548" width="10.85546875" style="117" customWidth="1"/>
    <col min="12549" max="12549" width="13.5703125" style="117" customWidth="1"/>
    <col min="12550" max="12550" width="14.140625" style="117" customWidth="1"/>
    <col min="12551" max="12551" width="12.42578125" style="117" customWidth="1"/>
    <col min="12552" max="12552" width="13.5703125" style="117" customWidth="1"/>
    <col min="12553" max="12553" width="13.28515625" style="117" customWidth="1"/>
    <col min="12554" max="12554" width="13.85546875" style="117" customWidth="1"/>
    <col min="12555" max="12555" width="12" style="117" customWidth="1"/>
    <col min="12556" max="12556" width="10.42578125" style="117" customWidth="1"/>
    <col min="12557" max="12557" width="11.42578125" style="117" bestFit="1" customWidth="1"/>
    <col min="12558" max="12558" width="9.5703125" style="117" customWidth="1"/>
    <col min="12559" max="12800" width="9.140625" style="117"/>
    <col min="12801" max="12801" width="43.42578125" style="117" customWidth="1"/>
    <col min="12802" max="12802" width="11.5703125" style="117" customWidth="1"/>
    <col min="12803" max="12803" width="12.85546875" style="117" customWidth="1"/>
    <col min="12804" max="12804" width="10.85546875" style="117" customWidth="1"/>
    <col min="12805" max="12805" width="13.5703125" style="117" customWidth="1"/>
    <col min="12806" max="12806" width="14.140625" style="117" customWidth="1"/>
    <col min="12807" max="12807" width="12.42578125" style="117" customWidth="1"/>
    <col min="12808" max="12808" width="13.5703125" style="117" customWidth="1"/>
    <col min="12809" max="12809" width="13.28515625" style="117" customWidth="1"/>
    <col min="12810" max="12810" width="13.85546875" style="117" customWidth="1"/>
    <col min="12811" max="12811" width="12" style="117" customWidth="1"/>
    <col min="12812" max="12812" width="10.42578125" style="117" customWidth="1"/>
    <col min="12813" max="12813" width="11.42578125" style="117" bestFit="1" customWidth="1"/>
    <col min="12814" max="12814" width="9.5703125" style="117" customWidth="1"/>
    <col min="12815" max="13056" width="9.140625" style="117"/>
    <col min="13057" max="13057" width="43.42578125" style="117" customWidth="1"/>
    <col min="13058" max="13058" width="11.5703125" style="117" customWidth="1"/>
    <col min="13059" max="13059" width="12.85546875" style="117" customWidth="1"/>
    <col min="13060" max="13060" width="10.85546875" style="117" customWidth="1"/>
    <col min="13061" max="13061" width="13.5703125" style="117" customWidth="1"/>
    <col min="13062" max="13062" width="14.140625" style="117" customWidth="1"/>
    <col min="13063" max="13063" width="12.42578125" style="117" customWidth="1"/>
    <col min="13064" max="13064" width="13.5703125" style="117" customWidth="1"/>
    <col min="13065" max="13065" width="13.28515625" style="117" customWidth="1"/>
    <col min="13066" max="13066" width="13.85546875" style="117" customWidth="1"/>
    <col min="13067" max="13067" width="12" style="117" customWidth="1"/>
    <col min="13068" max="13068" width="10.42578125" style="117" customWidth="1"/>
    <col min="13069" max="13069" width="11.42578125" style="117" bestFit="1" customWidth="1"/>
    <col min="13070" max="13070" width="9.5703125" style="117" customWidth="1"/>
    <col min="13071" max="13312" width="9.140625" style="117"/>
    <col min="13313" max="13313" width="43.42578125" style="117" customWidth="1"/>
    <col min="13314" max="13314" width="11.5703125" style="117" customWidth="1"/>
    <col min="13315" max="13315" width="12.85546875" style="117" customWidth="1"/>
    <col min="13316" max="13316" width="10.85546875" style="117" customWidth="1"/>
    <col min="13317" max="13317" width="13.5703125" style="117" customWidth="1"/>
    <col min="13318" max="13318" width="14.140625" style="117" customWidth="1"/>
    <col min="13319" max="13319" width="12.42578125" style="117" customWidth="1"/>
    <col min="13320" max="13320" width="13.5703125" style="117" customWidth="1"/>
    <col min="13321" max="13321" width="13.28515625" style="117" customWidth="1"/>
    <col min="13322" max="13322" width="13.85546875" style="117" customWidth="1"/>
    <col min="13323" max="13323" width="12" style="117" customWidth="1"/>
    <col min="13324" max="13324" width="10.42578125" style="117" customWidth="1"/>
    <col min="13325" max="13325" width="11.42578125" style="117" bestFit="1" customWidth="1"/>
    <col min="13326" max="13326" width="9.5703125" style="117" customWidth="1"/>
    <col min="13327" max="13568" width="9.140625" style="117"/>
    <col min="13569" max="13569" width="43.42578125" style="117" customWidth="1"/>
    <col min="13570" max="13570" width="11.5703125" style="117" customWidth="1"/>
    <col min="13571" max="13571" width="12.85546875" style="117" customWidth="1"/>
    <col min="13572" max="13572" width="10.85546875" style="117" customWidth="1"/>
    <col min="13573" max="13573" width="13.5703125" style="117" customWidth="1"/>
    <col min="13574" max="13574" width="14.140625" style="117" customWidth="1"/>
    <col min="13575" max="13575" width="12.42578125" style="117" customWidth="1"/>
    <col min="13576" max="13576" width="13.5703125" style="117" customWidth="1"/>
    <col min="13577" max="13577" width="13.28515625" style="117" customWidth="1"/>
    <col min="13578" max="13578" width="13.85546875" style="117" customWidth="1"/>
    <col min="13579" max="13579" width="12" style="117" customWidth="1"/>
    <col min="13580" max="13580" width="10.42578125" style="117" customWidth="1"/>
    <col min="13581" max="13581" width="11.42578125" style="117" bestFit="1" customWidth="1"/>
    <col min="13582" max="13582" width="9.5703125" style="117" customWidth="1"/>
    <col min="13583" max="13824" width="9.140625" style="117"/>
    <col min="13825" max="13825" width="43.42578125" style="117" customWidth="1"/>
    <col min="13826" max="13826" width="11.5703125" style="117" customWidth="1"/>
    <col min="13827" max="13827" width="12.85546875" style="117" customWidth="1"/>
    <col min="13828" max="13828" width="10.85546875" style="117" customWidth="1"/>
    <col min="13829" max="13829" width="13.5703125" style="117" customWidth="1"/>
    <col min="13830" max="13830" width="14.140625" style="117" customWidth="1"/>
    <col min="13831" max="13831" width="12.42578125" style="117" customWidth="1"/>
    <col min="13832" max="13832" width="13.5703125" style="117" customWidth="1"/>
    <col min="13833" max="13833" width="13.28515625" style="117" customWidth="1"/>
    <col min="13834" max="13834" width="13.85546875" style="117" customWidth="1"/>
    <col min="13835" max="13835" width="12" style="117" customWidth="1"/>
    <col min="13836" max="13836" width="10.42578125" style="117" customWidth="1"/>
    <col min="13837" max="13837" width="11.42578125" style="117" bestFit="1" customWidth="1"/>
    <col min="13838" max="13838" width="9.5703125" style="117" customWidth="1"/>
    <col min="13839" max="14080" width="9.140625" style="117"/>
    <col min="14081" max="14081" width="43.42578125" style="117" customWidth="1"/>
    <col min="14082" max="14082" width="11.5703125" style="117" customWidth="1"/>
    <col min="14083" max="14083" width="12.85546875" style="117" customWidth="1"/>
    <col min="14084" max="14084" width="10.85546875" style="117" customWidth="1"/>
    <col min="14085" max="14085" width="13.5703125" style="117" customWidth="1"/>
    <col min="14086" max="14086" width="14.140625" style="117" customWidth="1"/>
    <col min="14087" max="14087" width="12.42578125" style="117" customWidth="1"/>
    <col min="14088" max="14088" width="13.5703125" style="117" customWidth="1"/>
    <col min="14089" max="14089" width="13.28515625" style="117" customWidth="1"/>
    <col min="14090" max="14090" width="13.85546875" style="117" customWidth="1"/>
    <col min="14091" max="14091" width="12" style="117" customWidth="1"/>
    <col min="14092" max="14092" width="10.42578125" style="117" customWidth="1"/>
    <col min="14093" max="14093" width="11.42578125" style="117" bestFit="1" customWidth="1"/>
    <col min="14094" max="14094" width="9.5703125" style="117" customWidth="1"/>
    <col min="14095" max="14336" width="9.140625" style="117"/>
    <col min="14337" max="14337" width="43.42578125" style="117" customWidth="1"/>
    <col min="14338" max="14338" width="11.5703125" style="117" customWidth="1"/>
    <col min="14339" max="14339" width="12.85546875" style="117" customWidth="1"/>
    <col min="14340" max="14340" width="10.85546875" style="117" customWidth="1"/>
    <col min="14341" max="14341" width="13.5703125" style="117" customWidth="1"/>
    <col min="14342" max="14342" width="14.140625" style="117" customWidth="1"/>
    <col min="14343" max="14343" width="12.42578125" style="117" customWidth="1"/>
    <col min="14344" max="14344" width="13.5703125" style="117" customWidth="1"/>
    <col min="14345" max="14345" width="13.28515625" style="117" customWidth="1"/>
    <col min="14346" max="14346" width="13.85546875" style="117" customWidth="1"/>
    <col min="14347" max="14347" width="12" style="117" customWidth="1"/>
    <col min="14348" max="14348" width="10.42578125" style="117" customWidth="1"/>
    <col min="14349" max="14349" width="11.42578125" style="117" bestFit="1" customWidth="1"/>
    <col min="14350" max="14350" width="9.5703125" style="117" customWidth="1"/>
    <col min="14351" max="14592" width="9.140625" style="117"/>
    <col min="14593" max="14593" width="43.42578125" style="117" customWidth="1"/>
    <col min="14594" max="14594" width="11.5703125" style="117" customWidth="1"/>
    <col min="14595" max="14595" width="12.85546875" style="117" customWidth="1"/>
    <col min="14596" max="14596" width="10.85546875" style="117" customWidth="1"/>
    <col min="14597" max="14597" width="13.5703125" style="117" customWidth="1"/>
    <col min="14598" max="14598" width="14.140625" style="117" customWidth="1"/>
    <col min="14599" max="14599" width="12.42578125" style="117" customWidth="1"/>
    <col min="14600" max="14600" width="13.5703125" style="117" customWidth="1"/>
    <col min="14601" max="14601" width="13.28515625" style="117" customWidth="1"/>
    <col min="14602" max="14602" width="13.85546875" style="117" customWidth="1"/>
    <col min="14603" max="14603" width="12" style="117" customWidth="1"/>
    <col min="14604" max="14604" width="10.42578125" style="117" customWidth="1"/>
    <col min="14605" max="14605" width="11.42578125" style="117" bestFit="1" customWidth="1"/>
    <col min="14606" max="14606" width="9.5703125" style="117" customWidth="1"/>
    <col min="14607" max="14848" width="9.140625" style="117"/>
    <col min="14849" max="14849" width="43.42578125" style="117" customWidth="1"/>
    <col min="14850" max="14850" width="11.5703125" style="117" customWidth="1"/>
    <col min="14851" max="14851" width="12.85546875" style="117" customWidth="1"/>
    <col min="14852" max="14852" width="10.85546875" style="117" customWidth="1"/>
    <col min="14853" max="14853" width="13.5703125" style="117" customWidth="1"/>
    <col min="14854" max="14854" width="14.140625" style="117" customWidth="1"/>
    <col min="14855" max="14855" width="12.42578125" style="117" customWidth="1"/>
    <col min="14856" max="14856" width="13.5703125" style="117" customWidth="1"/>
    <col min="14857" max="14857" width="13.28515625" style="117" customWidth="1"/>
    <col min="14858" max="14858" width="13.85546875" style="117" customWidth="1"/>
    <col min="14859" max="14859" width="12" style="117" customWidth="1"/>
    <col min="14860" max="14860" width="10.42578125" style="117" customWidth="1"/>
    <col min="14861" max="14861" width="11.42578125" style="117" bestFit="1" customWidth="1"/>
    <col min="14862" max="14862" width="9.5703125" style="117" customWidth="1"/>
    <col min="14863" max="15104" width="9.140625" style="117"/>
    <col min="15105" max="15105" width="43.42578125" style="117" customWidth="1"/>
    <col min="15106" max="15106" width="11.5703125" style="117" customWidth="1"/>
    <col min="15107" max="15107" width="12.85546875" style="117" customWidth="1"/>
    <col min="15108" max="15108" width="10.85546875" style="117" customWidth="1"/>
    <col min="15109" max="15109" width="13.5703125" style="117" customWidth="1"/>
    <col min="15110" max="15110" width="14.140625" style="117" customWidth="1"/>
    <col min="15111" max="15111" width="12.42578125" style="117" customWidth="1"/>
    <col min="15112" max="15112" width="13.5703125" style="117" customWidth="1"/>
    <col min="15113" max="15113" width="13.28515625" style="117" customWidth="1"/>
    <col min="15114" max="15114" width="13.85546875" style="117" customWidth="1"/>
    <col min="15115" max="15115" width="12" style="117" customWidth="1"/>
    <col min="15116" max="15116" width="10.42578125" style="117" customWidth="1"/>
    <col min="15117" max="15117" width="11.42578125" style="117" bestFit="1" customWidth="1"/>
    <col min="15118" max="15118" width="9.5703125" style="117" customWidth="1"/>
    <col min="15119" max="15360" width="9.140625" style="117"/>
    <col min="15361" max="15361" width="43.42578125" style="117" customWidth="1"/>
    <col min="15362" max="15362" width="11.5703125" style="117" customWidth="1"/>
    <col min="15363" max="15363" width="12.85546875" style="117" customWidth="1"/>
    <col min="15364" max="15364" width="10.85546875" style="117" customWidth="1"/>
    <col min="15365" max="15365" width="13.5703125" style="117" customWidth="1"/>
    <col min="15366" max="15366" width="14.140625" style="117" customWidth="1"/>
    <col min="15367" max="15367" width="12.42578125" style="117" customWidth="1"/>
    <col min="15368" max="15368" width="13.5703125" style="117" customWidth="1"/>
    <col min="15369" max="15369" width="13.28515625" style="117" customWidth="1"/>
    <col min="15370" max="15370" width="13.85546875" style="117" customWidth="1"/>
    <col min="15371" max="15371" width="12" style="117" customWidth="1"/>
    <col min="15372" max="15372" width="10.42578125" style="117" customWidth="1"/>
    <col min="15373" max="15373" width="11.42578125" style="117" bestFit="1" customWidth="1"/>
    <col min="15374" max="15374" width="9.5703125" style="117" customWidth="1"/>
    <col min="15375" max="15616" width="9.140625" style="117"/>
    <col min="15617" max="15617" width="43.42578125" style="117" customWidth="1"/>
    <col min="15618" max="15618" width="11.5703125" style="117" customWidth="1"/>
    <col min="15619" max="15619" width="12.85546875" style="117" customWidth="1"/>
    <col min="15620" max="15620" width="10.85546875" style="117" customWidth="1"/>
    <col min="15621" max="15621" width="13.5703125" style="117" customWidth="1"/>
    <col min="15622" max="15622" width="14.140625" style="117" customWidth="1"/>
    <col min="15623" max="15623" width="12.42578125" style="117" customWidth="1"/>
    <col min="15624" max="15624" width="13.5703125" style="117" customWidth="1"/>
    <col min="15625" max="15625" width="13.28515625" style="117" customWidth="1"/>
    <col min="15626" max="15626" width="13.85546875" style="117" customWidth="1"/>
    <col min="15627" max="15627" width="12" style="117" customWidth="1"/>
    <col min="15628" max="15628" width="10.42578125" style="117" customWidth="1"/>
    <col min="15629" max="15629" width="11.42578125" style="117" bestFit="1" customWidth="1"/>
    <col min="15630" max="15630" width="9.5703125" style="117" customWidth="1"/>
    <col min="15631" max="15872" width="9.140625" style="117"/>
    <col min="15873" max="15873" width="43.42578125" style="117" customWidth="1"/>
    <col min="15874" max="15874" width="11.5703125" style="117" customWidth="1"/>
    <col min="15875" max="15875" width="12.85546875" style="117" customWidth="1"/>
    <col min="15876" max="15876" width="10.85546875" style="117" customWidth="1"/>
    <col min="15877" max="15877" width="13.5703125" style="117" customWidth="1"/>
    <col min="15878" max="15878" width="14.140625" style="117" customWidth="1"/>
    <col min="15879" max="15879" width="12.42578125" style="117" customWidth="1"/>
    <col min="15880" max="15880" width="13.5703125" style="117" customWidth="1"/>
    <col min="15881" max="15881" width="13.28515625" style="117" customWidth="1"/>
    <col min="15882" max="15882" width="13.85546875" style="117" customWidth="1"/>
    <col min="15883" max="15883" width="12" style="117" customWidth="1"/>
    <col min="15884" max="15884" width="10.42578125" style="117" customWidth="1"/>
    <col min="15885" max="15885" width="11.42578125" style="117" bestFit="1" customWidth="1"/>
    <col min="15886" max="15886" width="9.5703125" style="117" customWidth="1"/>
    <col min="15887" max="16128" width="9.140625" style="117"/>
    <col min="16129" max="16129" width="43.42578125" style="117" customWidth="1"/>
    <col min="16130" max="16130" width="11.5703125" style="117" customWidth="1"/>
    <col min="16131" max="16131" width="12.85546875" style="117" customWidth="1"/>
    <col min="16132" max="16132" width="10.85546875" style="117" customWidth="1"/>
    <col min="16133" max="16133" width="13.5703125" style="117" customWidth="1"/>
    <col min="16134" max="16134" width="14.140625" style="117" customWidth="1"/>
    <col min="16135" max="16135" width="12.42578125" style="117" customWidth="1"/>
    <col min="16136" max="16136" width="13.5703125" style="117" customWidth="1"/>
    <col min="16137" max="16137" width="13.28515625" style="117" customWidth="1"/>
    <col min="16138" max="16138" width="13.85546875" style="117" customWidth="1"/>
    <col min="16139" max="16139" width="12" style="117" customWidth="1"/>
    <col min="16140" max="16140" width="10.42578125" style="117" customWidth="1"/>
    <col min="16141" max="16141" width="11.42578125" style="117" bestFit="1" customWidth="1"/>
    <col min="16142" max="16142" width="9.5703125" style="117" customWidth="1"/>
    <col min="16143" max="16384" width="9.140625" style="117"/>
  </cols>
  <sheetData>
    <row r="1" spans="1:14">
      <c r="A1" s="551" t="s">
        <v>233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</row>
    <row r="2" spans="1:14">
      <c r="A2" s="551" t="s">
        <v>488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</row>
    <row r="3" spans="1:14" ht="15">
      <c r="A3" s="489" t="s">
        <v>585</v>
      </c>
      <c r="B3" s="489"/>
      <c r="C3" s="489"/>
    </row>
    <row r="4" spans="1:14">
      <c r="A4" s="117" t="s">
        <v>272</v>
      </c>
      <c r="B4" s="552" t="s">
        <v>489</v>
      </c>
      <c r="C4" s="552"/>
      <c r="D4" s="552"/>
      <c r="E4" s="117" t="s">
        <v>490</v>
      </c>
      <c r="G4" s="552"/>
      <c r="H4" s="552"/>
      <c r="J4" s="117" t="s">
        <v>208</v>
      </c>
      <c r="K4" s="123">
        <v>4572</v>
      </c>
      <c r="L4" s="117" t="s">
        <v>33</v>
      </c>
      <c r="N4" s="123">
        <v>800</v>
      </c>
    </row>
    <row r="6" spans="1:14">
      <c r="A6" s="117" t="s">
        <v>347</v>
      </c>
      <c r="B6" s="553" t="s">
        <v>491</v>
      </c>
      <c r="C6" s="554"/>
      <c r="D6" s="555"/>
      <c r="E6" s="117" t="s">
        <v>492</v>
      </c>
      <c r="G6" s="553" t="s">
        <v>493</v>
      </c>
      <c r="H6" s="554"/>
      <c r="I6" s="555"/>
    </row>
    <row r="8" spans="1:14" ht="12.75" customHeight="1">
      <c r="A8" s="556" t="s">
        <v>494</v>
      </c>
      <c r="B8" s="557" t="s">
        <v>495</v>
      </c>
      <c r="C8" s="558"/>
      <c r="D8" s="559"/>
      <c r="E8" s="566"/>
      <c r="F8" s="566"/>
      <c r="G8" s="557" t="s">
        <v>496</v>
      </c>
      <c r="H8" s="558"/>
      <c r="I8" s="559"/>
    </row>
    <row r="9" spans="1:14">
      <c r="A9" s="556"/>
      <c r="B9" s="560"/>
      <c r="C9" s="561"/>
      <c r="D9" s="562"/>
      <c r="E9" s="566"/>
      <c r="F9" s="566"/>
      <c r="G9" s="560"/>
      <c r="H9" s="561"/>
      <c r="I9" s="562"/>
    </row>
    <row r="10" spans="1:14">
      <c r="B10" s="560"/>
      <c r="C10" s="561"/>
      <c r="D10" s="562"/>
      <c r="G10" s="560"/>
      <c r="H10" s="561"/>
      <c r="I10" s="562"/>
    </row>
    <row r="11" spans="1:14">
      <c r="B11" s="563"/>
      <c r="C11" s="564"/>
      <c r="D11" s="565"/>
      <c r="G11" s="563"/>
      <c r="H11" s="564"/>
      <c r="I11" s="565"/>
    </row>
    <row r="14" spans="1:14">
      <c r="A14" s="117" t="s">
        <v>234</v>
      </c>
      <c r="B14" s="123">
        <v>27</v>
      </c>
      <c r="C14" s="117" t="s">
        <v>35</v>
      </c>
      <c r="F14" s="123">
        <v>26</v>
      </c>
      <c r="G14" s="117" t="s">
        <v>36</v>
      </c>
      <c r="H14" s="123">
        <v>65</v>
      </c>
      <c r="I14" s="117" t="s">
        <v>37</v>
      </c>
      <c r="J14" s="123">
        <v>3</v>
      </c>
      <c r="K14" s="117" t="s">
        <v>38</v>
      </c>
      <c r="L14" s="123">
        <v>82</v>
      </c>
    </row>
    <row r="17" spans="1:14">
      <c r="A17" s="117" t="s">
        <v>39</v>
      </c>
      <c r="B17" s="117" t="s">
        <v>40</v>
      </c>
      <c r="C17" s="123">
        <v>2955</v>
      </c>
      <c r="D17" s="117" t="s">
        <v>41</v>
      </c>
      <c r="E17" s="123">
        <v>1141</v>
      </c>
      <c r="F17" s="117" t="s">
        <v>42</v>
      </c>
      <c r="G17" s="123">
        <v>309</v>
      </c>
      <c r="H17" s="117" t="s">
        <v>64</v>
      </c>
      <c r="I17" s="123">
        <f>G17+E17+C17</f>
        <v>4405</v>
      </c>
      <c r="J17" s="117" t="s">
        <v>43</v>
      </c>
      <c r="K17" s="123">
        <v>213</v>
      </c>
      <c r="L17" s="117" t="s">
        <v>232</v>
      </c>
      <c r="N17" s="123">
        <v>178</v>
      </c>
    </row>
    <row r="18" spans="1:14">
      <c r="A18" s="117" t="s">
        <v>132</v>
      </c>
      <c r="B18" s="117" t="s">
        <v>46</v>
      </c>
      <c r="C18" s="123">
        <v>1423</v>
      </c>
      <c r="D18" s="117" t="s">
        <v>47</v>
      </c>
      <c r="E18" s="123">
        <v>554</v>
      </c>
      <c r="F18" s="117" t="s">
        <v>48</v>
      </c>
      <c r="G18" s="123">
        <v>157</v>
      </c>
      <c r="H18" s="117" t="s">
        <v>77</v>
      </c>
      <c r="I18" s="123">
        <f>G18+E18+C18</f>
        <v>2134</v>
      </c>
    </row>
    <row r="19" spans="1:14">
      <c r="B19" s="117" t="s">
        <v>49</v>
      </c>
      <c r="C19" s="123">
        <v>1532</v>
      </c>
      <c r="D19" s="117" t="s">
        <v>50</v>
      </c>
      <c r="E19" s="123">
        <v>587</v>
      </c>
      <c r="F19" s="117" t="s">
        <v>51</v>
      </c>
      <c r="G19" s="123">
        <v>152</v>
      </c>
      <c r="H19" s="117" t="s">
        <v>76</v>
      </c>
      <c r="I19" s="123">
        <f>G19+E19+C19</f>
        <v>2271</v>
      </c>
    </row>
    <row r="21" spans="1:14">
      <c r="A21" s="138" t="s">
        <v>52</v>
      </c>
    </row>
    <row r="23" spans="1:14">
      <c r="A23" s="567" t="s">
        <v>53</v>
      </c>
      <c r="B23" s="568" t="s">
        <v>235</v>
      </c>
      <c r="C23" s="567" t="s">
        <v>55</v>
      </c>
      <c r="D23" s="568" t="s">
        <v>157</v>
      </c>
      <c r="E23" s="568" t="s">
        <v>164</v>
      </c>
      <c r="F23" s="553" t="s">
        <v>497</v>
      </c>
      <c r="G23" s="554"/>
      <c r="H23" s="554"/>
      <c r="I23" s="554"/>
      <c r="J23" s="554"/>
      <c r="K23" s="554"/>
      <c r="L23" s="554"/>
      <c r="M23" s="554"/>
      <c r="N23" s="555"/>
    </row>
    <row r="24" spans="1:14">
      <c r="A24" s="567"/>
      <c r="B24" s="568"/>
      <c r="C24" s="567"/>
      <c r="D24" s="568"/>
      <c r="E24" s="568"/>
      <c r="F24" s="117" t="s">
        <v>143</v>
      </c>
      <c r="G24" s="123" t="s">
        <v>142</v>
      </c>
      <c r="H24" s="125" t="s">
        <v>141</v>
      </c>
      <c r="I24" s="125" t="s">
        <v>140</v>
      </c>
      <c r="J24" s="125" t="s">
        <v>236</v>
      </c>
      <c r="K24" s="125" t="s">
        <v>237</v>
      </c>
      <c r="L24" s="125" t="s">
        <v>238</v>
      </c>
      <c r="M24" s="125"/>
      <c r="N24" s="125"/>
    </row>
    <row r="25" spans="1:14">
      <c r="A25" s="567"/>
      <c r="B25" s="568"/>
      <c r="C25" s="567"/>
      <c r="D25" s="568"/>
      <c r="E25" s="568"/>
      <c r="F25" s="125" t="s">
        <v>105</v>
      </c>
      <c r="G25" s="125" t="s">
        <v>106</v>
      </c>
      <c r="H25" s="125" t="s">
        <v>107</v>
      </c>
      <c r="I25" s="125" t="s">
        <v>108</v>
      </c>
      <c r="J25" s="125" t="s">
        <v>109</v>
      </c>
      <c r="K25" s="125" t="s">
        <v>110</v>
      </c>
      <c r="L25" s="125" t="s">
        <v>111</v>
      </c>
      <c r="M25" s="125" t="s">
        <v>64</v>
      </c>
      <c r="N25" s="125" t="s">
        <v>65</v>
      </c>
    </row>
    <row r="26" spans="1:14">
      <c r="A26" s="123" t="s">
        <v>370</v>
      </c>
      <c r="B26" s="123">
        <v>500</v>
      </c>
      <c r="C26" s="123" t="s">
        <v>300</v>
      </c>
      <c r="D26" s="139">
        <v>25</v>
      </c>
      <c r="E26" s="139">
        <f>1939500/100000</f>
        <v>19.395</v>
      </c>
      <c r="F26" s="123">
        <v>0</v>
      </c>
      <c r="G26" s="139">
        <f>93390/100000</f>
        <v>0.93389999999999995</v>
      </c>
      <c r="H26" s="139">
        <f>1301326/100000</f>
        <v>13.013260000000001</v>
      </c>
      <c r="I26" s="139">
        <f>490354/100000</f>
        <v>4.9035399999999996</v>
      </c>
      <c r="J26" s="123"/>
      <c r="K26" s="123"/>
      <c r="L26" s="123"/>
      <c r="M26" s="139">
        <f>L26+K26+J26+I26+H26+G26</f>
        <v>18.850700000000003</v>
      </c>
      <c r="N26" s="140">
        <f>M26*100/E26</f>
        <v>97.193606599639111</v>
      </c>
    </row>
    <row r="27" spans="1:14">
      <c r="A27" s="123" t="s">
        <v>338</v>
      </c>
      <c r="B27" s="123">
        <v>360</v>
      </c>
      <c r="C27" s="123" t="s">
        <v>300</v>
      </c>
      <c r="D27" s="139">
        <v>18</v>
      </c>
      <c r="E27" s="139">
        <f>589500/100000</f>
        <v>5.8949999999999996</v>
      </c>
      <c r="F27" s="123">
        <v>0</v>
      </c>
      <c r="G27" s="139">
        <v>0</v>
      </c>
      <c r="H27" s="139">
        <f>112984/100000</f>
        <v>1.12984</v>
      </c>
      <c r="I27" s="139">
        <f>176149/100000</f>
        <v>1.76149</v>
      </c>
      <c r="J27" s="123"/>
      <c r="K27" s="123"/>
      <c r="L27" s="123"/>
      <c r="M27" s="139">
        <f t="shared" ref="M27:M33" si="0">L27+K27+J27+I27+H27+G27</f>
        <v>2.89133</v>
      </c>
      <c r="N27" s="140">
        <f t="shared" ref="N27:N34" si="1">M27*100/E27</f>
        <v>49.047158608990671</v>
      </c>
    </row>
    <row r="28" spans="1:14">
      <c r="A28" s="123" t="s">
        <v>321</v>
      </c>
      <c r="B28" s="123">
        <v>8.4</v>
      </c>
      <c r="C28" s="123" t="s">
        <v>363</v>
      </c>
      <c r="D28" s="139">
        <v>58.8</v>
      </c>
      <c r="E28" s="139">
        <f>810000/100000</f>
        <v>8.1</v>
      </c>
      <c r="F28" s="123">
        <v>0</v>
      </c>
      <c r="G28" s="139">
        <f>258226/100000</f>
        <v>2.5822600000000002</v>
      </c>
      <c r="H28" s="139">
        <f>311667/100000</f>
        <v>3.1166700000000001</v>
      </c>
      <c r="I28" s="139">
        <f>446516/100000</f>
        <v>4.46516</v>
      </c>
      <c r="J28" s="123"/>
      <c r="K28" s="123"/>
      <c r="L28" s="123"/>
      <c r="M28" s="139">
        <f t="shared" si="0"/>
        <v>10.16409</v>
      </c>
      <c r="N28" s="140">
        <f t="shared" si="1"/>
        <v>125.4825925925926</v>
      </c>
    </row>
    <row r="29" spans="1:14">
      <c r="A29" s="123" t="s">
        <v>246</v>
      </c>
      <c r="B29" s="123">
        <v>0.84</v>
      </c>
      <c r="C29" s="123" t="s">
        <v>363</v>
      </c>
      <c r="D29" s="139">
        <v>5.88</v>
      </c>
      <c r="E29" s="139">
        <f>324000/100000</f>
        <v>3.24</v>
      </c>
      <c r="F29" s="123">
        <v>0</v>
      </c>
      <c r="G29" s="139">
        <f>95290/100000</f>
        <v>0.95289999999999997</v>
      </c>
      <c r="H29" s="139">
        <f>124617/100000</f>
        <v>1.24617</v>
      </c>
      <c r="I29" s="139">
        <f>91852/100000</f>
        <v>0.91852</v>
      </c>
      <c r="J29" s="123"/>
      <c r="K29" s="123"/>
      <c r="L29" s="123"/>
      <c r="M29" s="139">
        <f t="shared" si="0"/>
        <v>3.1175900000000003</v>
      </c>
      <c r="N29" s="140">
        <f t="shared" si="1"/>
        <v>96.221913580246905</v>
      </c>
    </row>
    <row r="30" spans="1:14">
      <c r="A30" s="123" t="s">
        <v>498</v>
      </c>
      <c r="B30" s="123">
        <v>3.6</v>
      </c>
      <c r="C30" s="123" t="s">
        <v>363</v>
      </c>
      <c r="D30" s="139">
        <v>25.2</v>
      </c>
      <c r="E30" s="139">
        <f>540000/100000</f>
        <v>5.4</v>
      </c>
      <c r="F30" s="123">
        <v>0</v>
      </c>
      <c r="G30" s="139">
        <f>206334/100000</f>
        <v>2.0633400000000002</v>
      </c>
      <c r="H30" s="139">
        <f>254000/100000</f>
        <v>2.54</v>
      </c>
      <c r="I30" s="139">
        <f>234000/100000</f>
        <v>2.34</v>
      </c>
      <c r="J30" s="123"/>
      <c r="K30" s="123"/>
      <c r="L30" s="123"/>
      <c r="M30" s="139">
        <f t="shared" si="0"/>
        <v>6.9433400000000001</v>
      </c>
      <c r="N30" s="140">
        <f t="shared" si="1"/>
        <v>128.58037037037036</v>
      </c>
    </row>
    <row r="31" spans="1:14">
      <c r="A31" s="123" t="s">
        <v>305</v>
      </c>
      <c r="B31" s="123">
        <v>0.24</v>
      </c>
      <c r="C31" s="123" t="s">
        <v>363</v>
      </c>
      <c r="D31" s="139">
        <v>1.68</v>
      </c>
      <c r="E31" s="139">
        <f>54000/100000</f>
        <v>0.54</v>
      </c>
      <c r="F31" s="123">
        <v>0</v>
      </c>
      <c r="G31" s="139">
        <f>24000/100000</f>
        <v>0.24</v>
      </c>
      <c r="H31" s="139">
        <f>24000/100000</f>
        <v>0.24</v>
      </c>
      <c r="I31" s="139">
        <f>24000/100000</f>
        <v>0.24</v>
      </c>
      <c r="J31" s="123"/>
      <c r="K31" s="123"/>
      <c r="L31" s="123"/>
      <c r="M31" s="139">
        <f t="shared" si="0"/>
        <v>0.72</v>
      </c>
      <c r="N31" s="140">
        <f t="shared" si="1"/>
        <v>133.33333333333331</v>
      </c>
    </row>
    <row r="32" spans="1:14">
      <c r="A32" s="123" t="s">
        <v>306</v>
      </c>
      <c r="B32" s="123">
        <v>0.24</v>
      </c>
      <c r="C32" s="123" t="s">
        <v>363</v>
      </c>
      <c r="D32" s="139">
        <v>1.68</v>
      </c>
      <c r="E32" s="139">
        <f>81000/100000</f>
        <v>0.81</v>
      </c>
      <c r="F32" s="123">
        <v>0</v>
      </c>
      <c r="G32" s="139">
        <f>57154/100000</f>
        <v>0.57154000000000005</v>
      </c>
      <c r="H32" s="139">
        <f>38836/100000</f>
        <v>0.38835999999999998</v>
      </c>
      <c r="I32" s="139">
        <f>28907/100000</f>
        <v>0.28906999999999999</v>
      </c>
      <c r="J32" s="123"/>
      <c r="K32" s="123"/>
      <c r="L32" s="123"/>
      <c r="M32" s="139">
        <f t="shared" si="0"/>
        <v>1.2489699999999999</v>
      </c>
      <c r="N32" s="140">
        <f t="shared" si="1"/>
        <v>154.19382716049381</v>
      </c>
    </row>
    <row r="33" spans="1:14">
      <c r="A33" s="123" t="s">
        <v>113</v>
      </c>
      <c r="B33" s="123">
        <v>0.2</v>
      </c>
      <c r="C33" s="123" t="s">
        <v>68</v>
      </c>
      <c r="D33" s="139">
        <v>0.2</v>
      </c>
      <c r="E33" s="139">
        <f>20000/100000</f>
        <v>0.2</v>
      </c>
      <c r="F33" s="123">
        <v>0</v>
      </c>
      <c r="G33" s="139">
        <f>19064/100000</f>
        <v>0.19064</v>
      </c>
      <c r="H33" s="139">
        <v>0</v>
      </c>
      <c r="I33" s="139">
        <v>0</v>
      </c>
      <c r="J33" s="123"/>
      <c r="K33" s="123"/>
      <c r="L33" s="123"/>
      <c r="M33" s="139">
        <f t="shared" si="0"/>
        <v>0.19064</v>
      </c>
      <c r="N33" s="140">
        <f t="shared" si="1"/>
        <v>95.32</v>
      </c>
    </row>
    <row r="34" spans="1:14">
      <c r="A34" s="123" t="s">
        <v>239</v>
      </c>
      <c r="B34" s="123"/>
      <c r="C34" s="123"/>
      <c r="D34" s="141">
        <f>SUM(D26:D33)</f>
        <v>136.44</v>
      </c>
      <c r="E34" s="141">
        <f>SUM(E26:E33)</f>
        <v>43.580000000000005</v>
      </c>
      <c r="F34" s="141">
        <f t="shared" ref="F34:M34" si="2">SUM(F26:F33)</f>
        <v>0</v>
      </c>
      <c r="G34" s="141">
        <f t="shared" si="2"/>
        <v>7.5345800000000001</v>
      </c>
      <c r="H34" s="141">
        <f t="shared" si="2"/>
        <v>21.674299999999995</v>
      </c>
      <c r="I34" s="141">
        <f t="shared" si="2"/>
        <v>14.91778</v>
      </c>
      <c r="J34" s="141">
        <f t="shared" si="2"/>
        <v>0</v>
      </c>
      <c r="K34" s="141">
        <f t="shared" si="2"/>
        <v>0</v>
      </c>
      <c r="L34" s="141">
        <f t="shared" si="2"/>
        <v>0</v>
      </c>
      <c r="M34" s="141">
        <f t="shared" si="2"/>
        <v>44.126660000000001</v>
      </c>
      <c r="N34" s="140">
        <f t="shared" si="1"/>
        <v>101.25438274437815</v>
      </c>
    </row>
  </sheetData>
  <mergeCells count="17">
    <mergeCell ref="A8:A9"/>
    <mergeCell ref="B8:D11"/>
    <mergeCell ref="E8:F9"/>
    <mergeCell ref="G8:I11"/>
    <mergeCell ref="A23:A25"/>
    <mergeCell ref="B23:B25"/>
    <mergeCell ref="C23:C25"/>
    <mergeCell ref="D23:D25"/>
    <mergeCell ref="E23:E25"/>
    <mergeCell ref="F23:N23"/>
    <mergeCell ref="A1:N1"/>
    <mergeCell ref="A2:N2"/>
    <mergeCell ref="B4:D4"/>
    <mergeCell ref="G4:H4"/>
    <mergeCell ref="B6:D6"/>
    <mergeCell ref="G6:I6"/>
    <mergeCell ref="A3:C3"/>
  </mergeCells>
  <hyperlinks>
    <hyperlink ref="A3" location="'Fact Sheet of VDC'!A1" display="&lt;&lt;Back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workbookViewId="0">
      <selection activeCell="A3" sqref="A3:C3"/>
    </sheetView>
  </sheetViews>
  <sheetFormatPr defaultRowHeight="12.75"/>
  <cols>
    <col min="1" max="1" width="43.42578125" style="178" customWidth="1"/>
    <col min="2" max="2" width="11.5703125" style="178" customWidth="1"/>
    <col min="3" max="3" width="12.85546875" style="178" customWidth="1"/>
    <col min="4" max="4" width="10.85546875" style="178" customWidth="1"/>
    <col min="5" max="5" width="11.28515625" style="178" customWidth="1"/>
    <col min="6" max="6" width="14.140625" style="178" customWidth="1"/>
    <col min="7" max="7" width="12.42578125" style="178" customWidth="1"/>
    <col min="8" max="8" width="13.5703125" style="178" customWidth="1"/>
    <col min="9" max="9" width="13.28515625" style="178" customWidth="1"/>
    <col min="10" max="10" width="15.140625" style="178" customWidth="1"/>
    <col min="11" max="11" width="10.85546875" style="178" customWidth="1"/>
    <col min="12" max="12" width="9.140625" style="178"/>
    <col min="13" max="13" width="10" style="178" customWidth="1"/>
    <col min="14" max="256" width="9.140625" style="178"/>
    <col min="257" max="257" width="43.42578125" style="178" customWidth="1"/>
    <col min="258" max="258" width="11.5703125" style="178" customWidth="1"/>
    <col min="259" max="259" width="12.85546875" style="178" customWidth="1"/>
    <col min="260" max="260" width="10.85546875" style="178" customWidth="1"/>
    <col min="261" max="261" width="11.28515625" style="178" customWidth="1"/>
    <col min="262" max="262" width="14.140625" style="178" customWidth="1"/>
    <col min="263" max="263" width="12.42578125" style="178" customWidth="1"/>
    <col min="264" max="264" width="13.5703125" style="178" customWidth="1"/>
    <col min="265" max="265" width="13.28515625" style="178" customWidth="1"/>
    <col min="266" max="266" width="15.140625" style="178" customWidth="1"/>
    <col min="267" max="267" width="10.85546875" style="178" customWidth="1"/>
    <col min="268" max="268" width="9.140625" style="178"/>
    <col min="269" max="269" width="10" style="178" customWidth="1"/>
    <col min="270" max="512" width="9.140625" style="178"/>
    <col min="513" max="513" width="43.42578125" style="178" customWidth="1"/>
    <col min="514" max="514" width="11.5703125" style="178" customWidth="1"/>
    <col min="515" max="515" width="12.85546875" style="178" customWidth="1"/>
    <col min="516" max="516" width="10.85546875" style="178" customWidth="1"/>
    <col min="517" max="517" width="11.28515625" style="178" customWidth="1"/>
    <col min="518" max="518" width="14.140625" style="178" customWidth="1"/>
    <col min="519" max="519" width="12.42578125" style="178" customWidth="1"/>
    <col min="520" max="520" width="13.5703125" style="178" customWidth="1"/>
    <col min="521" max="521" width="13.28515625" style="178" customWidth="1"/>
    <col min="522" max="522" width="15.140625" style="178" customWidth="1"/>
    <col min="523" max="523" width="10.85546875" style="178" customWidth="1"/>
    <col min="524" max="524" width="9.140625" style="178"/>
    <col min="525" max="525" width="10" style="178" customWidth="1"/>
    <col min="526" max="768" width="9.140625" style="178"/>
    <col min="769" max="769" width="43.42578125" style="178" customWidth="1"/>
    <col min="770" max="770" width="11.5703125" style="178" customWidth="1"/>
    <col min="771" max="771" width="12.85546875" style="178" customWidth="1"/>
    <col min="772" max="772" width="10.85546875" style="178" customWidth="1"/>
    <col min="773" max="773" width="11.28515625" style="178" customWidth="1"/>
    <col min="774" max="774" width="14.140625" style="178" customWidth="1"/>
    <col min="775" max="775" width="12.42578125" style="178" customWidth="1"/>
    <col min="776" max="776" width="13.5703125" style="178" customWidth="1"/>
    <col min="777" max="777" width="13.28515625" style="178" customWidth="1"/>
    <col min="778" max="778" width="15.140625" style="178" customWidth="1"/>
    <col min="779" max="779" width="10.85546875" style="178" customWidth="1"/>
    <col min="780" max="780" width="9.140625" style="178"/>
    <col min="781" max="781" width="10" style="178" customWidth="1"/>
    <col min="782" max="1024" width="9.140625" style="178"/>
    <col min="1025" max="1025" width="43.42578125" style="178" customWidth="1"/>
    <col min="1026" max="1026" width="11.5703125" style="178" customWidth="1"/>
    <col min="1027" max="1027" width="12.85546875" style="178" customWidth="1"/>
    <col min="1028" max="1028" width="10.85546875" style="178" customWidth="1"/>
    <col min="1029" max="1029" width="11.28515625" style="178" customWidth="1"/>
    <col min="1030" max="1030" width="14.140625" style="178" customWidth="1"/>
    <col min="1031" max="1031" width="12.42578125" style="178" customWidth="1"/>
    <col min="1032" max="1032" width="13.5703125" style="178" customWidth="1"/>
    <col min="1033" max="1033" width="13.28515625" style="178" customWidth="1"/>
    <col min="1034" max="1034" width="15.140625" style="178" customWidth="1"/>
    <col min="1035" max="1035" width="10.85546875" style="178" customWidth="1"/>
    <col min="1036" max="1036" width="9.140625" style="178"/>
    <col min="1037" max="1037" width="10" style="178" customWidth="1"/>
    <col min="1038" max="1280" width="9.140625" style="178"/>
    <col min="1281" max="1281" width="43.42578125" style="178" customWidth="1"/>
    <col min="1282" max="1282" width="11.5703125" style="178" customWidth="1"/>
    <col min="1283" max="1283" width="12.85546875" style="178" customWidth="1"/>
    <col min="1284" max="1284" width="10.85546875" style="178" customWidth="1"/>
    <col min="1285" max="1285" width="11.28515625" style="178" customWidth="1"/>
    <col min="1286" max="1286" width="14.140625" style="178" customWidth="1"/>
    <col min="1287" max="1287" width="12.42578125" style="178" customWidth="1"/>
    <col min="1288" max="1288" width="13.5703125" style="178" customWidth="1"/>
    <col min="1289" max="1289" width="13.28515625" style="178" customWidth="1"/>
    <col min="1290" max="1290" width="15.140625" style="178" customWidth="1"/>
    <col min="1291" max="1291" width="10.85546875" style="178" customWidth="1"/>
    <col min="1292" max="1292" width="9.140625" style="178"/>
    <col min="1293" max="1293" width="10" style="178" customWidth="1"/>
    <col min="1294" max="1536" width="9.140625" style="178"/>
    <col min="1537" max="1537" width="43.42578125" style="178" customWidth="1"/>
    <col min="1538" max="1538" width="11.5703125" style="178" customWidth="1"/>
    <col min="1539" max="1539" width="12.85546875" style="178" customWidth="1"/>
    <col min="1540" max="1540" width="10.85546875" style="178" customWidth="1"/>
    <col min="1541" max="1541" width="11.28515625" style="178" customWidth="1"/>
    <col min="1542" max="1542" width="14.140625" style="178" customWidth="1"/>
    <col min="1543" max="1543" width="12.42578125" style="178" customWidth="1"/>
    <col min="1544" max="1544" width="13.5703125" style="178" customWidth="1"/>
    <col min="1545" max="1545" width="13.28515625" style="178" customWidth="1"/>
    <col min="1546" max="1546" width="15.140625" style="178" customWidth="1"/>
    <col min="1547" max="1547" width="10.85546875" style="178" customWidth="1"/>
    <col min="1548" max="1548" width="9.140625" style="178"/>
    <col min="1549" max="1549" width="10" style="178" customWidth="1"/>
    <col min="1550" max="1792" width="9.140625" style="178"/>
    <col min="1793" max="1793" width="43.42578125" style="178" customWidth="1"/>
    <col min="1794" max="1794" width="11.5703125" style="178" customWidth="1"/>
    <col min="1795" max="1795" width="12.85546875" style="178" customWidth="1"/>
    <col min="1796" max="1796" width="10.85546875" style="178" customWidth="1"/>
    <col min="1797" max="1797" width="11.28515625" style="178" customWidth="1"/>
    <col min="1798" max="1798" width="14.140625" style="178" customWidth="1"/>
    <col min="1799" max="1799" width="12.42578125" style="178" customWidth="1"/>
    <col min="1800" max="1800" width="13.5703125" style="178" customWidth="1"/>
    <col min="1801" max="1801" width="13.28515625" style="178" customWidth="1"/>
    <col min="1802" max="1802" width="15.140625" style="178" customWidth="1"/>
    <col min="1803" max="1803" width="10.85546875" style="178" customWidth="1"/>
    <col min="1804" max="1804" width="9.140625" style="178"/>
    <col min="1805" max="1805" width="10" style="178" customWidth="1"/>
    <col min="1806" max="2048" width="9.140625" style="178"/>
    <col min="2049" max="2049" width="43.42578125" style="178" customWidth="1"/>
    <col min="2050" max="2050" width="11.5703125" style="178" customWidth="1"/>
    <col min="2051" max="2051" width="12.85546875" style="178" customWidth="1"/>
    <col min="2052" max="2052" width="10.85546875" style="178" customWidth="1"/>
    <col min="2053" max="2053" width="11.28515625" style="178" customWidth="1"/>
    <col min="2054" max="2054" width="14.140625" style="178" customWidth="1"/>
    <col min="2055" max="2055" width="12.42578125" style="178" customWidth="1"/>
    <col min="2056" max="2056" width="13.5703125" style="178" customWidth="1"/>
    <col min="2057" max="2057" width="13.28515625" style="178" customWidth="1"/>
    <col min="2058" max="2058" width="15.140625" style="178" customWidth="1"/>
    <col min="2059" max="2059" width="10.85546875" style="178" customWidth="1"/>
    <col min="2060" max="2060" width="9.140625" style="178"/>
    <col min="2061" max="2061" width="10" style="178" customWidth="1"/>
    <col min="2062" max="2304" width="9.140625" style="178"/>
    <col min="2305" max="2305" width="43.42578125" style="178" customWidth="1"/>
    <col min="2306" max="2306" width="11.5703125" style="178" customWidth="1"/>
    <col min="2307" max="2307" width="12.85546875" style="178" customWidth="1"/>
    <col min="2308" max="2308" width="10.85546875" style="178" customWidth="1"/>
    <col min="2309" max="2309" width="11.28515625" style="178" customWidth="1"/>
    <col min="2310" max="2310" width="14.140625" style="178" customWidth="1"/>
    <col min="2311" max="2311" width="12.42578125" style="178" customWidth="1"/>
    <col min="2312" max="2312" width="13.5703125" style="178" customWidth="1"/>
    <col min="2313" max="2313" width="13.28515625" style="178" customWidth="1"/>
    <col min="2314" max="2314" width="15.140625" style="178" customWidth="1"/>
    <col min="2315" max="2315" width="10.85546875" style="178" customWidth="1"/>
    <col min="2316" max="2316" width="9.140625" style="178"/>
    <col min="2317" max="2317" width="10" style="178" customWidth="1"/>
    <col min="2318" max="2560" width="9.140625" style="178"/>
    <col min="2561" max="2561" width="43.42578125" style="178" customWidth="1"/>
    <col min="2562" max="2562" width="11.5703125" style="178" customWidth="1"/>
    <col min="2563" max="2563" width="12.85546875" style="178" customWidth="1"/>
    <col min="2564" max="2564" width="10.85546875" style="178" customWidth="1"/>
    <col min="2565" max="2565" width="11.28515625" style="178" customWidth="1"/>
    <col min="2566" max="2566" width="14.140625" style="178" customWidth="1"/>
    <col min="2567" max="2567" width="12.42578125" style="178" customWidth="1"/>
    <col min="2568" max="2568" width="13.5703125" style="178" customWidth="1"/>
    <col min="2569" max="2569" width="13.28515625" style="178" customWidth="1"/>
    <col min="2570" max="2570" width="15.140625" style="178" customWidth="1"/>
    <col min="2571" max="2571" width="10.85546875" style="178" customWidth="1"/>
    <col min="2572" max="2572" width="9.140625" style="178"/>
    <col min="2573" max="2573" width="10" style="178" customWidth="1"/>
    <col min="2574" max="2816" width="9.140625" style="178"/>
    <col min="2817" max="2817" width="43.42578125" style="178" customWidth="1"/>
    <col min="2818" max="2818" width="11.5703125" style="178" customWidth="1"/>
    <col min="2819" max="2819" width="12.85546875" style="178" customWidth="1"/>
    <col min="2820" max="2820" width="10.85546875" style="178" customWidth="1"/>
    <col min="2821" max="2821" width="11.28515625" style="178" customWidth="1"/>
    <col min="2822" max="2822" width="14.140625" style="178" customWidth="1"/>
    <col min="2823" max="2823" width="12.42578125" style="178" customWidth="1"/>
    <col min="2824" max="2824" width="13.5703125" style="178" customWidth="1"/>
    <col min="2825" max="2825" width="13.28515625" style="178" customWidth="1"/>
    <col min="2826" max="2826" width="15.140625" style="178" customWidth="1"/>
    <col min="2827" max="2827" width="10.85546875" style="178" customWidth="1"/>
    <col min="2828" max="2828" width="9.140625" style="178"/>
    <col min="2829" max="2829" width="10" style="178" customWidth="1"/>
    <col min="2830" max="3072" width="9.140625" style="178"/>
    <col min="3073" max="3073" width="43.42578125" style="178" customWidth="1"/>
    <col min="3074" max="3074" width="11.5703125" style="178" customWidth="1"/>
    <col min="3075" max="3075" width="12.85546875" style="178" customWidth="1"/>
    <col min="3076" max="3076" width="10.85546875" style="178" customWidth="1"/>
    <col min="3077" max="3077" width="11.28515625" style="178" customWidth="1"/>
    <col min="3078" max="3078" width="14.140625" style="178" customWidth="1"/>
    <col min="3079" max="3079" width="12.42578125" style="178" customWidth="1"/>
    <col min="3080" max="3080" width="13.5703125" style="178" customWidth="1"/>
    <col min="3081" max="3081" width="13.28515625" style="178" customWidth="1"/>
    <col min="3082" max="3082" width="15.140625" style="178" customWidth="1"/>
    <col min="3083" max="3083" width="10.85546875" style="178" customWidth="1"/>
    <col min="3084" max="3084" width="9.140625" style="178"/>
    <col min="3085" max="3085" width="10" style="178" customWidth="1"/>
    <col min="3086" max="3328" width="9.140625" style="178"/>
    <col min="3329" max="3329" width="43.42578125" style="178" customWidth="1"/>
    <col min="3330" max="3330" width="11.5703125" style="178" customWidth="1"/>
    <col min="3331" max="3331" width="12.85546875" style="178" customWidth="1"/>
    <col min="3332" max="3332" width="10.85546875" style="178" customWidth="1"/>
    <col min="3333" max="3333" width="11.28515625" style="178" customWidth="1"/>
    <col min="3334" max="3334" width="14.140625" style="178" customWidth="1"/>
    <col min="3335" max="3335" width="12.42578125" style="178" customWidth="1"/>
    <col min="3336" max="3336" width="13.5703125" style="178" customWidth="1"/>
    <col min="3337" max="3337" width="13.28515625" style="178" customWidth="1"/>
    <col min="3338" max="3338" width="15.140625" style="178" customWidth="1"/>
    <col min="3339" max="3339" width="10.85546875" style="178" customWidth="1"/>
    <col min="3340" max="3340" width="9.140625" style="178"/>
    <col min="3341" max="3341" width="10" style="178" customWidth="1"/>
    <col min="3342" max="3584" width="9.140625" style="178"/>
    <col min="3585" max="3585" width="43.42578125" style="178" customWidth="1"/>
    <col min="3586" max="3586" width="11.5703125" style="178" customWidth="1"/>
    <col min="3587" max="3587" width="12.85546875" style="178" customWidth="1"/>
    <col min="3588" max="3588" width="10.85546875" style="178" customWidth="1"/>
    <col min="3589" max="3589" width="11.28515625" style="178" customWidth="1"/>
    <col min="3590" max="3590" width="14.140625" style="178" customWidth="1"/>
    <col min="3591" max="3591" width="12.42578125" style="178" customWidth="1"/>
    <col min="3592" max="3592" width="13.5703125" style="178" customWidth="1"/>
    <col min="3593" max="3593" width="13.28515625" style="178" customWidth="1"/>
    <col min="3594" max="3594" width="15.140625" style="178" customWidth="1"/>
    <col min="3595" max="3595" width="10.85546875" style="178" customWidth="1"/>
    <col min="3596" max="3596" width="9.140625" style="178"/>
    <col min="3597" max="3597" width="10" style="178" customWidth="1"/>
    <col min="3598" max="3840" width="9.140625" style="178"/>
    <col min="3841" max="3841" width="43.42578125" style="178" customWidth="1"/>
    <col min="3842" max="3842" width="11.5703125" style="178" customWidth="1"/>
    <col min="3843" max="3843" width="12.85546875" style="178" customWidth="1"/>
    <col min="3844" max="3844" width="10.85546875" style="178" customWidth="1"/>
    <col min="3845" max="3845" width="11.28515625" style="178" customWidth="1"/>
    <col min="3846" max="3846" width="14.140625" style="178" customWidth="1"/>
    <col min="3847" max="3847" width="12.42578125" style="178" customWidth="1"/>
    <col min="3848" max="3848" width="13.5703125" style="178" customWidth="1"/>
    <col min="3849" max="3849" width="13.28515625" style="178" customWidth="1"/>
    <col min="3850" max="3850" width="15.140625" style="178" customWidth="1"/>
    <col min="3851" max="3851" width="10.85546875" style="178" customWidth="1"/>
    <col min="3852" max="3852" width="9.140625" style="178"/>
    <col min="3853" max="3853" width="10" style="178" customWidth="1"/>
    <col min="3854" max="4096" width="9.140625" style="178"/>
    <col min="4097" max="4097" width="43.42578125" style="178" customWidth="1"/>
    <col min="4098" max="4098" width="11.5703125" style="178" customWidth="1"/>
    <col min="4099" max="4099" width="12.85546875" style="178" customWidth="1"/>
    <col min="4100" max="4100" width="10.85546875" style="178" customWidth="1"/>
    <col min="4101" max="4101" width="11.28515625" style="178" customWidth="1"/>
    <col min="4102" max="4102" width="14.140625" style="178" customWidth="1"/>
    <col min="4103" max="4103" width="12.42578125" style="178" customWidth="1"/>
    <col min="4104" max="4104" width="13.5703125" style="178" customWidth="1"/>
    <col min="4105" max="4105" width="13.28515625" style="178" customWidth="1"/>
    <col min="4106" max="4106" width="15.140625" style="178" customWidth="1"/>
    <col min="4107" max="4107" width="10.85546875" style="178" customWidth="1"/>
    <col min="4108" max="4108" width="9.140625" style="178"/>
    <col min="4109" max="4109" width="10" style="178" customWidth="1"/>
    <col min="4110" max="4352" width="9.140625" style="178"/>
    <col min="4353" max="4353" width="43.42578125" style="178" customWidth="1"/>
    <col min="4354" max="4354" width="11.5703125" style="178" customWidth="1"/>
    <col min="4355" max="4355" width="12.85546875" style="178" customWidth="1"/>
    <col min="4356" max="4356" width="10.85546875" style="178" customWidth="1"/>
    <col min="4357" max="4357" width="11.28515625" style="178" customWidth="1"/>
    <col min="4358" max="4358" width="14.140625" style="178" customWidth="1"/>
    <col min="4359" max="4359" width="12.42578125" style="178" customWidth="1"/>
    <col min="4360" max="4360" width="13.5703125" style="178" customWidth="1"/>
    <col min="4361" max="4361" width="13.28515625" style="178" customWidth="1"/>
    <col min="4362" max="4362" width="15.140625" style="178" customWidth="1"/>
    <col min="4363" max="4363" width="10.85546875" style="178" customWidth="1"/>
    <col min="4364" max="4364" width="9.140625" style="178"/>
    <col min="4365" max="4365" width="10" style="178" customWidth="1"/>
    <col min="4366" max="4608" width="9.140625" style="178"/>
    <col min="4609" max="4609" width="43.42578125" style="178" customWidth="1"/>
    <col min="4610" max="4610" width="11.5703125" style="178" customWidth="1"/>
    <col min="4611" max="4611" width="12.85546875" style="178" customWidth="1"/>
    <col min="4612" max="4612" width="10.85546875" style="178" customWidth="1"/>
    <col min="4613" max="4613" width="11.28515625" style="178" customWidth="1"/>
    <col min="4614" max="4614" width="14.140625" style="178" customWidth="1"/>
    <col min="4615" max="4615" width="12.42578125" style="178" customWidth="1"/>
    <col min="4616" max="4616" width="13.5703125" style="178" customWidth="1"/>
    <col min="4617" max="4617" width="13.28515625" style="178" customWidth="1"/>
    <col min="4618" max="4618" width="15.140625" style="178" customWidth="1"/>
    <col min="4619" max="4619" width="10.85546875" style="178" customWidth="1"/>
    <col min="4620" max="4620" width="9.140625" style="178"/>
    <col min="4621" max="4621" width="10" style="178" customWidth="1"/>
    <col min="4622" max="4864" width="9.140625" style="178"/>
    <col min="4865" max="4865" width="43.42578125" style="178" customWidth="1"/>
    <col min="4866" max="4866" width="11.5703125" style="178" customWidth="1"/>
    <col min="4867" max="4867" width="12.85546875" style="178" customWidth="1"/>
    <col min="4868" max="4868" width="10.85546875" style="178" customWidth="1"/>
    <col min="4869" max="4869" width="11.28515625" style="178" customWidth="1"/>
    <col min="4870" max="4870" width="14.140625" style="178" customWidth="1"/>
    <col min="4871" max="4871" width="12.42578125" style="178" customWidth="1"/>
    <col min="4872" max="4872" width="13.5703125" style="178" customWidth="1"/>
    <col min="4873" max="4873" width="13.28515625" style="178" customWidth="1"/>
    <col min="4874" max="4874" width="15.140625" style="178" customWidth="1"/>
    <col min="4875" max="4875" width="10.85546875" style="178" customWidth="1"/>
    <col min="4876" max="4876" width="9.140625" style="178"/>
    <col min="4877" max="4877" width="10" style="178" customWidth="1"/>
    <col min="4878" max="5120" width="9.140625" style="178"/>
    <col min="5121" max="5121" width="43.42578125" style="178" customWidth="1"/>
    <col min="5122" max="5122" width="11.5703125" style="178" customWidth="1"/>
    <col min="5123" max="5123" width="12.85546875" style="178" customWidth="1"/>
    <col min="5124" max="5124" width="10.85546875" style="178" customWidth="1"/>
    <col min="5125" max="5125" width="11.28515625" style="178" customWidth="1"/>
    <col min="5126" max="5126" width="14.140625" style="178" customWidth="1"/>
    <col min="5127" max="5127" width="12.42578125" style="178" customWidth="1"/>
    <col min="5128" max="5128" width="13.5703125" style="178" customWidth="1"/>
    <col min="5129" max="5129" width="13.28515625" style="178" customWidth="1"/>
    <col min="5130" max="5130" width="15.140625" style="178" customWidth="1"/>
    <col min="5131" max="5131" width="10.85546875" style="178" customWidth="1"/>
    <col min="5132" max="5132" width="9.140625" style="178"/>
    <col min="5133" max="5133" width="10" style="178" customWidth="1"/>
    <col min="5134" max="5376" width="9.140625" style="178"/>
    <col min="5377" max="5377" width="43.42578125" style="178" customWidth="1"/>
    <col min="5378" max="5378" width="11.5703125" style="178" customWidth="1"/>
    <col min="5379" max="5379" width="12.85546875" style="178" customWidth="1"/>
    <col min="5380" max="5380" width="10.85546875" style="178" customWidth="1"/>
    <col min="5381" max="5381" width="11.28515625" style="178" customWidth="1"/>
    <col min="5382" max="5382" width="14.140625" style="178" customWidth="1"/>
    <col min="5383" max="5383" width="12.42578125" style="178" customWidth="1"/>
    <col min="5384" max="5384" width="13.5703125" style="178" customWidth="1"/>
    <col min="5385" max="5385" width="13.28515625" style="178" customWidth="1"/>
    <col min="5386" max="5386" width="15.140625" style="178" customWidth="1"/>
    <col min="5387" max="5387" width="10.85546875" style="178" customWidth="1"/>
    <col min="5388" max="5388" width="9.140625" style="178"/>
    <col min="5389" max="5389" width="10" style="178" customWidth="1"/>
    <col min="5390" max="5632" width="9.140625" style="178"/>
    <col min="5633" max="5633" width="43.42578125" style="178" customWidth="1"/>
    <col min="5634" max="5634" width="11.5703125" style="178" customWidth="1"/>
    <col min="5635" max="5635" width="12.85546875" style="178" customWidth="1"/>
    <col min="5636" max="5636" width="10.85546875" style="178" customWidth="1"/>
    <col min="5637" max="5637" width="11.28515625" style="178" customWidth="1"/>
    <col min="5638" max="5638" width="14.140625" style="178" customWidth="1"/>
    <col min="5639" max="5639" width="12.42578125" style="178" customWidth="1"/>
    <col min="5640" max="5640" width="13.5703125" style="178" customWidth="1"/>
    <col min="5641" max="5641" width="13.28515625" style="178" customWidth="1"/>
    <col min="5642" max="5642" width="15.140625" style="178" customWidth="1"/>
    <col min="5643" max="5643" width="10.85546875" style="178" customWidth="1"/>
    <col min="5644" max="5644" width="9.140625" style="178"/>
    <col min="5645" max="5645" width="10" style="178" customWidth="1"/>
    <col min="5646" max="5888" width="9.140625" style="178"/>
    <col min="5889" max="5889" width="43.42578125" style="178" customWidth="1"/>
    <col min="5890" max="5890" width="11.5703125" style="178" customWidth="1"/>
    <col min="5891" max="5891" width="12.85546875" style="178" customWidth="1"/>
    <col min="5892" max="5892" width="10.85546875" style="178" customWidth="1"/>
    <col min="5893" max="5893" width="11.28515625" style="178" customWidth="1"/>
    <col min="5894" max="5894" width="14.140625" style="178" customWidth="1"/>
    <col min="5895" max="5895" width="12.42578125" style="178" customWidth="1"/>
    <col min="5896" max="5896" width="13.5703125" style="178" customWidth="1"/>
    <col min="5897" max="5897" width="13.28515625" style="178" customWidth="1"/>
    <col min="5898" max="5898" width="15.140625" style="178" customWidth="1"/>
    <col min="5899" max="5899" width="10.85546875" style="178" customWidth="1"/>
    <col min="5900" max="5900" width="9.140625" style="178"/>
    <col min="5901" max="5901" width="10" style="178" customWidth="1"/>
    <col min="5902" max="6144" width="9.140625" style="178"/>
    <col min="6145" max="6145" width="43.42578125" style="178" customWidth="1"/>
    <col min="6146" max="6146" width="11.5703125" style="178" customWidth="1"/>
    <col min="6147" max="6147" width="12.85546875" style="178" customWidth="1"/>
    <col min="6148" max="6148" width="10.85546875" style="178" customWidth="1"/>
    <col min="6149" max="6149" width="11.28515625" style="178" customWidth="1"/>
    <col min="6150" max="6150" width="14.140625" style="178" customWidth="1"/>
    <col min="6151" max="6151" width="12.42578125" style="178" customWidth="1"/>
    <col min="6152" max="6152" width="13.5703125" style="178" customWidth="1"/>
    <col min="6153" max="6153" width="13.28515625" style="178" customWidth="1"/>
    <col min="6154" max="6154" width="15.140625" style="178" customWidth="1"/>
    <col min="6155" max="6155" width="10.85546875" style="178" customWidth="1"/>
    <col min="6156" max="6156" width="9.140625" style="178"/>
    <col min="6157" max="6157" width="10" style="178" customWidth="1"/>
    <col min="6158" max="6400" width="9.140625" style="178"/>
    <col min="6401" max="6401" width="43.42578125" style="178" customWidth="1"/>
    <col min="6402" max="6402" width="11.5703125" style="178" customWidth="1"/>
    <col min="6403" max="6403" width="12.85546875" style="178" customWidth="1"/>
    <col min="6404" max="6404" width="10.85546875" style="178" customWidth="1"/>
    <col min="6405" max="6405" width="11.28515625" style="178" customWidth="1"/>
    <col min="6406" max="6406" width="14.140625" style="178" customWidth="1"/>
    <col min="6407" max="6407" width="12.42578125" style="178" customWidth="1"/>
    <col min="6408" max="6408" width="13.5703125" style="178" customWidth="1"/>
    <col min="6409" max="6409" width="13.28515625" style="178" customWidth="1"/>
    <col min="6410" max="6410" width="15.140625" style="178" customWidth="1"/>
    <col min="6411" max="6411" width="10.85546875" style="178" customWidth="1"/>
    <col min="6412" max="6412" width="9.140625" style="178"/>
    <col min="6413" max="6413" width="10" style="178" customWidth="1"/>
    <col min="6414" max="6656" width="9.140625" style="178"/>
    <col min="6657" max="6657" width="43.42578125" style="178" customWidth="1"/>
    <col min="6658" max="6658" width="11.5703125" style="178" customWidth="1"/>
    <col min="6659" max="6659" width="12.85546875" style="178" customWidth="1"/>
    <col min="6660" max="6660" width="10.85546875" style="178" customWidth="1"/>
    <col min="6661" max="6661" width="11.28515625" style="178" customWidth="1"/>
    <col min="6662" max="6662" width="14.140625" style="178" customWidth="1"/>
    <col min="6663" max="6663" width="12.42578125" style="178" customWidth="1"/>
    <col min="6664" max="6664" width="13.5703125" style="178" customWidth="1"/>
    <col min="6665" max="6665" width="13.28515625" style="178" customWidth="1"/>
    <col min="6666" max="6666" width="15.140625" style="178" customWidth="1"/>
    <col min="6667" max="6667" width="10.85546875" style="178" customWidth="1"/>
    <col min="6668" max="6668" width="9.140625" style="178"/>
    <col min="6669" max="6669" width="10" style="178" customWidth="1"/>
    <col min="6670" max="6912" width="9.140625" style="178"/>
    <col min="6913" max="6913" width="43.42578125" style="178" customWidth="1"/>
    <col min="6914" max="6914" width="11.5703125" style="178" customWidth="1"/>
    <col min="6915" max="6915" width="12.85546875" style="178" customWidth="1"/>
    <col min="6916" max="6916" width="10.85546875" style="178" customWidth="1"/>
    <col min="6917" max="6917" width="11.28515625" style="178" customWidth="1"/>
    <col min="6918" max="6918" width="14.140625" style="178" customWidth="1"/>
    <col min="6919" max="6919" width="12.42578125" style="178" customWidth="1"/>
    <col min="6920" max="6920" width="13.5703125" style="178" customWidth="1"/>
    <col min="6921" max="6921" width="13.28515625" style="178" customWidth="1"/>
    <col min="6922" max="6922" width="15.140625" style="178" customWidth="1"/>
    <col min="6923" max="6923" width="10.85546875" style="178" customWidth="1"/>
    <col min="6924" max="6924" width="9.140625" style="178"/>
    <col min="6925" max="6925" width="10" style="178" customWidth="1"/>
    <col min="6926" max="7168" width="9.140625" style="178"/>
    <col min="7169" max="7169" width="43.42578125" style="178" customWidth="1"/>
    <col min="7170" max="7170" width="11.5703125" style="178" customWidth="1"/>
    <col min="7171" max="7171" width="12.85546875" style="178" customWidth="1"/>
    <col min="7172" max="7172" width="10.85546875" style="178" customWidth="1"/>
    <col min="7173" max="7173" width="11.28515625" style="178" customWidth="1"/>
    <col min="7174" max="7174" width="14.140625" style="178" customWidth="1"/>
    <col min="7175" max="7175" width="12.42578125" style="178" customWidth="1"/>
    <col min="7176" max="7176" width="13.5703125" style="178" customWidth="1"/>
    <col min="7177" max="7177" width="13.28515625" style="178" customWidth="1"/>
    <col min="7178" max="7178" width="15.140625" style="178" customWidth="1"/>
    <col min="7179" max="7179" width="10.85546875" style="178" customWidth="1"/>
    <col min="7180" max="7180" width="9.140625" style="178"/>
    <col min="7181" max="7181" width="10" style="178" customWidth="1"/>
    <col min="7182" max="7424" width="9.140625" style="178"/>
    <col min="7425" max="7425" width="43.42578125" style="178" customWidth="1"/>
    <col min="7426" max="7426" width="11.5703125" style="178" customWidth="1"/>
    <col min="7427" max="7427" width="12.85546875" style="178" customWidth="1"/>
    <col min="7428" max="7428" width="10.85546875" style="178" customWidth="1"/>
    <col min="7429" max="7429" width="11.28515625" style="178" customWidth="1"/>
    <col min="7430" max="7430" width="14.140625" style="178" customWidth="1"/>
    <col min="7431" max="7431" width="12.42578125" style="178" customWidth="1"/>
    <col min="7432" max="7432" width="13.5703125" style="178" customWidth="1"/>
    <col min="7433" max="7433" width="13.28515625" style="178" customWidth="1"/>
    <col min="7434" max="7434" width="15.140625" style="178" customWidth="1"/>
    <col min="7435" max="7435" width="10.85546875" style="178" customWidth="1"/>
    <col min="7436" max="7436" width="9.140625" style="178"/>
    <col min="7437" max="7437" width="10" style="178" customWidth="1"/>
    <col min="7438" max="7680" width="9.140625" style="178"/>
    <col min="7681" max="7681" width="43.42578125" style="178" customWidth="1"/>
    <col min="7682" max="7682" width="11.5703125" style="178" customWidth="1"/>
    <col min="7683" max="7683" width="12.85546875" style="178" customWidth="1"/>
    <col min="7684" max="7684" width="10.85546875" style="178" customWidth="1"/>
    <col min="7685" max="7685" width="11.28515625" style="178" customWidth="1"/>
    <col min="7686" max="7686" width="14.140625" style="178" customWidth="1"/>
    <col min="7687" max="7687" width="12.42578125" style="178" customWidth="1"/>
    <col min="7688" max="7688" width="13.5703125" style="178" customWidth="1"/>
    <col min="7689" max="7689" width="13.28515625" style="178" customWidth="1"/>
    <col min="7690" max="7690" width="15.140625" style="178" customWidth="1"/>
    <col min="7691" max="7691" width="10.85546875" style="178" customWidth="1"/>
    <col min="7692" max="7692" width="9.140625" style="178"/>
    <col min="7693" max="7693" width="10" style="178" customWidth="1"/>
    <col min="7694" max="7936" width="9.140625" style="178"/>
    <col min="7937" max="7937" width="43.42578125" style="178" customWidth="1"/>
    <col min="7938" max="7938" width="11.5703125" style="178" customWidth="1"/>
    <col min="7939" max="7939" width="12.85546875" style="178" customWidth="1"/>
    <col min="7940" max="7940" width="10.85546875" style="178" customWidth="1"/>
    <col min="7941" max="7941" width="11.28515625" style="178" customWidth="1"/>
    <col min="7942" max="7942" width="14.140625" style="178" customWidth="1"/>
    <col min="7943" max="7943" width="12.42578125" style="178" customWidth="1"/>
    <col min="7944" max="7944" width="13.5703125" style="178" customWidth="1"/>
    <col min="7945" max="7945" width="13.28515625" style="178" customWidth="1"/>
    <col min="7946" max="7946" width="15.140625" style="178" customWidth="1"/>
    <col min="7947" max="7947" width="10.85546875" style="178" customWidth="1"/>
    <col min="7948" max="7948" width="9.140625" style="178"/>
    <col min="7949" max="7949" width="10" style="178" customWidth="1"/>
    <col min="7950" max="8192" width="9.140625" style="178"/>
    <col min="8193" max="8193" width="43.42578125" style="178" customWidth="1"/>
    <col min="8194" max="8194" width="11.5703125" style="178" customWidth="1"/>
    <col min="8195" max="8195" width="12.85546875" style="178" customWidth="1"/>
    <col min="8196" max="8196" width="10.85546875" style="178" customWidth="1"/>
    <col min="8197" max="8197" width="11.28515625" style="178" customWidth="1"/>
    <col min="8198" max="8198" width="14.140625" style="178" customWidth="1"/>
    <col min="8199" max="8199" width="12.42578125" style="178" customWidth="1"/>
    <col min="8200" max="8200" width="13.5703125" style="178" customWidth="1"/>
    <col min="8201" max="8201" width="13.28515625" style="178" customWidth="1"/>
    <col min="8202" max="8202" width="15.140625" style="178" customWidth="1"/>
    <col min="8203" max="8203" width="10.85546875" style="178" customWidth="1"/>
    <col min="8204" max="8204" width="9.140625" style="178"/>
    <col min="8205" max="8205" width="10" style="178" customWidth="1"/>
    <col min="8206" max="8448" width="9.140625" style="178"/>
    <col min="8449" max="8449" width="43.42578125" style="178" customWidth="1"/>
    <col min="8450" max="8450" width="11.5703125" style="178" customWidth="1"/>
    <col min="8451" max="8451" width="12.85546875" style="178" customWidth="1"/>
    <col min="8452" max="8452" width="10.85546875" style="178" customWidth="1"/>
    <col min="8453" max="8453" width="11.28515625" style="178" customWidth="1"/>
    <col min="8454" max="8454" width="14.140625" style="178" customWidth="1"/>
    <col min="8455" max="8455" width="12.42578125" style="178" customWidth="1"/>
    <col min="8456" max="8456" width="13.5703125" style="178" customWidth="1"/>
    <col min="8457" max="8457" width="13.28515625" style="178" customWidth="1"/>
    <col min="8458" max="8458" width="15.140625" style="178" customWidth="1"/>
    <col min="8459" max="8459" width="10.85546875" style="178" customWidth="1"/>
    <col min="8460" max="8460" width="9.140625" style="178"/>
    <col min="8461" max="8461" width="10" style="178" customWidth="1"/>
    <col min="8462" max="8704" width="9.140625" style="178"/>
    <col min="8705" max="8705" width="43.42578125" style="178" customWidth="1"/>
    <col min="8706" max="8706" width="11.5703125" style="178" customWidth="1"/>
    <col min="8707" max="8707" width="12.85546875" style="178" customWidth="1"/>
    <col min="8708" max="8708" width="10.85546875" style="178" customWidth="1"/>
    <col min="8709" max="8709" width="11.28515625" style="178" customWidth="1"/>
    <col min="8710" max="8710" width="14.140625" style="178" customWidth="1"/>
    <col min="8711" max="8711" width="12.42578125" style="178" customWidth="1"/>
    <col min="8712" max="8712" width="13.5703125" style="178" customWidth="1"/>
    <col min="8713" max="8713" width="13.28515625" style="178" customWidth="1"/>
    <col min="8714" max="8714" width="15.140625" style="178" customWidth="1"/>
    <col min="8715" max="8715" width="10.85546875" style="178" customWidth="1"/>
    <col min="8716" max="8716" width="9.140625" style="178"/>
    <col min="8717" max="8717" width="10" style="178" customWidth="1"/>
    <col min="8718" max="8960" width="9.140625" style="178"/>
    <col min="8961" max="8961" width="43.42578125" style="178" customWidth="1"/>
    <col min="8962" max="8962" width="11.5703125" style="178" customWidth="1"/>
    <col min="8963" max="8963" width="12.85546875" style="178" customWidth="1"/>
    <col min="8964" max="8964" width="10.85546875" style="178" customWidth="1"/>
    <col min="8965" max="8965" width="11.28515625" style="178" customWidth="1"/>
    <col min="8966" max="8966" width="14.140625" style="178" customWidth="1"/>
    <col min="8967" max="8967" width="12.42578125" style="178" customWidth="1"/>
    <col min="8968" max="8968" width="13.5703125" style="178" customWidth="1"/>
    <col min="8969" max="8969" width="13.28515625" style="178" customWidth="1"/>
    <col min="8970" max="8970" width="15.140625" style="178" customWidth="1"/>
    <col min="8971" max="8971" width="10.85546875" style="178" customWidth="1"/>
    <col min="8972" max="8972" width="9.140625" style="178"/>
    <col min="8973" max="8973" width="10" style="178" customWidth="1"/>
    <col min="8974" max="9216" width="9.140625" style="178"/>
    <col min="9217" max="9217" width="43.42578125" style="178" customWidth="1"/>
    <col min="9218" max="9218" width="11.5703125" style="178" customWidth="1"/>
    <col min="9219" max="9219" width="12.85546875" style="178" customWidth="1"/>
    <col min="9220" max="9220" width="10.85546875" style="178" customWidth="1"/>
    <col min="9221" max="9221" width="11.28515625" style="178" customWidth="1"/>
    <col min="9222" max="9222" width="14.140625" style="178" customWidth="1"/>
    <col min="9223" max="9223" width="12.42578125" style="178" customWidth="1"/>
    <col min="9224" max="9224" width="13.5703125" style="178" customWidth="1"/>
    <col min="9225" max="9225" width="13.28515625" style="178" customWidth="1"/>
    <col min="9226" max="9226" width="15.140625" style="178" customWidth="1"/>
    <col min="9227" max="9227" width="10.85546875" style="178" customWidth="1"/>
    <col min="9228" max="9228" width="9.140625" style="178"/>
    <col min="9229" max="9229" width="10" style="178" customWidth="1"/>
    <col min="9230" max="9472" width="9.140625" style="178"/>
    <col min="9473" max="9473" width="43.42578125" style="178" customWidth="1"/>
    <col min="9474" max="9474" width="11.5703125" style="178" customWidth="1"/>
    <col min="9475" max="9475" width="12.85546875" style="178" customWidth="1"/>
    <col min="9476" max="9476" width="10.85546875" style="178" customWidth="1"/>
    <col min="9477" max="9477" width="11.28515625" style="178" customWidth="1"/>
    <col min="9478" max="9478" width="14.140625" style="178" customWidth="1"/>
    <col min="9479" max="9479" width="12.42578125" style="178" customWidth="1"/>
    <col min="9480" max="9480" width="13.5703125" style="178" customWidth="1"/>
    <col min="9481" max="9481" width="13.28515625" style="178" customWidth="1"/>
    <col min="9482" max="9482" width="15.140625" style="178" customWidth="1"/>
    <col min="9483" max="9483" width="10.85546875" style="178" customWidth="1"/>
    <col min="9484" max="9484" width="9.140625" style="178"/>
    <col min="9485" max="9485" width="10" style="178" customWidth="1"/>
    <col min="9486" max="9728" width="9.140625" style="178"/>
    <col min="9729" max="9729" width="43.42578125" style="178" customWidth="1"/>
    <col min="9730" max="9730" width="11.5703125" style="178" customWidth="1"/>
    <col min="9731" max="9731" width="12.85546875" style="178" customWidth="1"/>
    <col min="9732" max="9732" width="10.85546875" style="178" customWidth="1"/>
    <col min="9733" max="9733" width="11.28515625" style="178" customWidth="1"/>
    <col min="9734" max="9734" width="14.140625" style="178" customWidth="1"/>
    <col min="9735" max="9735" width="12.42578125" style="178" customWidth="1"/>
    <col min="9736" max="9736" width="13.5703125" style="178" customWidth="1"/>
    <col min="9737" max="9737" width="13.28515625" style="178" customWidth="1"/>
    <col min="9738" max="9738" width="15.140625" style="178" customWidth="1"/>
    <col min="9739" max="9739" width="10.85546875" style="178" customWidth="1"/>
    <col min="9740" max="9740" width="9.140625" style="178"/>
    <col min="9741" max="9741" width="10" style="178" customWidth="1"/>
    <col min="9742" max="9984" width="9.140625" style="178"/>
    <col min="9985" max="9985" width="43.42578125" style="178" customWidth="1"/>
    <col min="9986" max="9986" width="11.5703125" style="178" customWidth="1"/>
    <col min="9987" max="9987" width="12.85546875" style="178" customWidth="1"/>
    <col min="9988" max="9988" width="10.85546875" style="178" customWidth="1"/>
    <col min="9989" max="9989" width="11.28515625" style="178" customWidth="1"/>
    <col min="9990" max="9990" width="14.140625" style="178" customWidth="1"/>
    <col min="9991" max="9991" width="12.42578125" style="178" customWidth="1"/>
    <col min="9992" max="9992" width="13.5703125" style="178" customWidth="1"/>
    <col min="9993" max="9993" width="13.28515625" style="178" customWidth="1"/>
    <col min="9994" max="9994" width="15.140625" style="178" customWidth="1"/>
    <col min="9995" max="9995" width="10.85546875" style="178" customWidth="1"/>
    <col min="9996" max="9996" width="9.140625" style="178"/>
    <col min="9997" max="9997" width="10" style="178" customWidth="1"/>
    <col min="9998" max="10240" width="9.140625" style="178"/>
    <col min="10241" max="10241" width="43.42578125" style="178" customWidth="1"/>
    <col min="10242" max="10242" width="11.5703125" style="178" customWidth="1"/>
    <col min="10243" max="10243" width="12.85546875" style="178" customWidth="1"/>
    <col min="10244" max="10244" width="10.85546875" style="178" customWidth="1"/>
    <col min="10245" max="10245" width="11.28515625" style="178" customWidth="1"/>
    <col min="10246" max="10246" width="14.140625" style="178" customWidth="1"/>
    <col min="10247" max="10247" width="12.42578125" style="178" customWidth="1"/>
    <col min="10248" max="10248" width="13.5703125" style="178" customWidth="1"/>
    <col min="10249" max="10249" width="13.28515625" style="178" customWidth="1"/>
    <col min="10250" max="10250" width="15.140625" style="178" customWidth="1"/>
    <col min="10251" max="10251" width="10.85546875" style="178" customWidth="1"/>
    <col min="10252" max="10252" width="9.140625" style="178"/>
    <col min="10253" max="10253" width="10" style="178" customWidth="1"/>
    <col min="10254" max="10496" width="9.140625" style="178"/>
    <col min="10497" max="10497" width="43.42578125" style="178" customWidth="1"/>
    <col min="10498" max="10498" width="11.5703125" style="178" customWidth="1"/>
    <col min="10499" max="10499" width="12.85546875" style="178" customWidth="1"/>
    <col min="10500" max="10500" width="10.85546875" style="178" customWidth="1"/>
    <col min="10501" max="10501" width="11.28515625" style="178" customWidth="1"/>
    <col min="10502" max="10502" width="14.140625" style="178" customWidth="1"/>
    <col min="10503" max="10503" width="12.42578125" style="178" customWidth="1"/>
    <col min="10504" max="10504" width="13.5703125" style="178" customWidth="1"/>
    <col min="10505" max="10505" width="13.28515625" style="178" customWidth="1"/>
    <col min="10506" max="10506" width="15.140625" style="178" customWidth="1"/>
    <col min="10507" max="10507" width="10.85546875" style="178" customWidth="1"/>
    <col min="10508" max="10508" width="9.140625" style="178"/>
    <col min="10509" max="10509" width="10" style="178" customWidth="1"/>
    <col min="10510" max="10752" width="9.140625" style="178"/>
    <col min="10753" max="10753" width="43.42578125" style="178" customWidth="1"/>
    <col min="10754" max="10754" width="11.5703125" style="178" customWidth="1"/>
    <col min="10755" max="10755" width="12.85546875" style="178" customWidth="1"/>
    <col min="10756" max="10756" width="10.85546875" style="178" customWidth="1"/>
    <col min="10757" max="10757" width="11.28515625" style="178" customWidth="1"/>
    <col min="10758" max="10758" width="14.140625" style="178" customWidth="1"/>
    <col min="10759" max="10759" width="12.42578125" style="178" customWidth="1"/>
    <col min="10760" max="10760" width="13.5703125" style="178" customWidth="1"/>
    <col min="10761" max="10761" width="13.28515625" style="178" customWidth="1"/>
    <col min="10762" max="10762" width="15.140625" style="178" customWidth="1"/>
    <col min="10763" max="10763" width="10.85546875" style="178" customWidth="1"/>
    <col min="10764" max="10764" width="9.140625" style="178"/>
    <col min="10765" max="10765" width="10" style="178" customWidth="1"/>
    <col min="10766" max="11008" width="9.140625" style="178"/>
    <col min="11009" max="11009" width="43.42578125" style="178" customWidth="1"/>
    <col min="11010" max="11010" width="11.5703125" style="178" customWidth="1"/>
    <col min="11011" max="11011" width="12.85546875" style="178" customWidth="1"/>
    <col min="11012" max="11012" width="10.85546875" style="178" customWidth="1"/>
    <col min="11013" max="11013" width="11.28515625" style="178" customWidth="1"/>
    <col min="11014" max="11014" width="14.140625" style="178" customWidth="1"/>
    <col min="11015" max="11015" width="12.42578125" style="178" customWidth="1"/>
    <col min="11016" max="11016" width="13.5703125" style="178" customWidth="1"/>
    <col min="11017" max="11017" width="13.28515625" style="178" customWidth="1"/>
    <col min="11018" max="11018" width="15.140625" style="178" customWidth="1"/>
    <col min="11019" max="11019" width="10.85546875" style="178" customWidth="1"/>
    <col min="11020" max="11020" width="9.140625" style="178"/>
    <col min="11021" max="11021" width="10" style="178" customWidth="1"/>
    <col min="11022" max="11264" width="9.140625" style="178"/>
    <col min="11265" max="11265" width="43.42578125" style="178" customWidth="1"/>
    <col min="11266" max="11266" width="11.5703125" style="178" customWidth="1"/>
    <col min="11267" max="11267" width="12.85546875" style="178" customWidth="1"/>
    <col min="11268" max="11268" width="10.85546875" style="178" customWidth="1"/>
    <col min="11269" max="11269" width="11.28515625" style="178" customWidth="1"/>
    <col min="11270" max="11270" width="14.140625" style="178" customWidth="1"/>
    <col min="11271" max="11271" width="12.42578125" style="178" customWidth="1"/>
    <col min="11272" max="11272" width="13.5703125" style="178" customWidth="1"/>
    <col min="11273" max="11273" width="13.28515625" style="178" customWidth="1"/>
    <col min="11274" max="11274" width="15.140625" style="178" customWidth="1"/>
    <col min="11275" max="11275" width="10.85546875" style="178" customWidth="1"/>
    <col min="11276" max="11276" width="9.140625" style="178"/>
    <col min="11277" max="11277" width="10" style="178" customWidth="1"/>
    <col min="11278" max="11520" width="9.140625" style="178"/>
    <col min="11521" max="11521" width="43.42578125" style="178" customWidth="1"/>
    <col min="11522" max="11522" width="11.5703125" style="178" customWidth="1"/>
    <col min="11523" max="11523" width="12.85546875" style="178" customWidth="1"/>
    <col min="11524" max="11524" width="10.85546875" style="178" customWidth="1"/>
    <col min="11525" max="11525" width="11.28515625" style="178" customWidth="1"/>
    <col min="11526" max="11526" width="14.140625" style="178" customWidth="1"/>
    <col min="11527" max="11527" width="12.42578125" style="178" customWidth="1"/>
    <col min="11528" max="11528" width="13.5703125" style="178" customWidth="1"/>
    <col min="11529" max="11529" width="13.28515625" style="178" customWidth="1"/>
    <col min="11530" max="11530" width="15.140625" style="178" customWidth="1"/>
    <col min="11531" max="11531" width="10.85546875" style="178" customWidth="1"/>
    <col min="11532" max="11532" width="9.140625" style="178"/>
    <col min="11533" max="11533" width="10" style="178" customWidth="1"/>
    <col min="11534" max="11776" width="9.140625" style="178"/>
    <col min="11777" max="11777" width="43.42578125" style="178" customWidth="1"/>
    <col min="11778" max="11778" width="11.5703125" style="178" customWidth="1"/>
    <col min="11779" max="11779" width="12.85546875" style="178" customWidth="1"/>
    <col min="11780" max="11780" width="10.85546875" style="178" customWidth="1"/>
    <col min="11781" max="11781" width="11.28515625" style="178" customWidth="1"/>
    <col min="11782" max="11782" width="14.140625" style="178" customWidth="1"/>
    <col min="11783" max="11783" width="12.42578125" style="178" customWidth="1"/>
    <col min="11784" max="11784" width="13.5703125" style="178" customWidth="1"/>
    <col min="11785" max="11785" width="13.28515625" style="178" customWidth="1"/>
    <col min="11786" max="11786" width="15.140625" style="178" customWidth="1"/>
    <col min="11787" max="11787" width="10.85546875" style="178" customWidth="1"/>
    <col min="11788" max="11788" width="9.140625" style="178"/>
    <col min="11789" max="11789" width="10" style="178" customWidth="1"/>
    <col min="11790" max="12032" width="9.140625" style="178"/>
    <col min="12033" max="12033" width="43.42578125" style="178" customWidth="1"/>
    <col min="12034" max="12034" width="11.5703125" style="178" customWidth="1"/>
    <col min="12035" max="12035" width="12.85546875" style="178" customWidth="1"/>
    <col min="12036" max="12036" width="10.85546875" style="178" customWidth="1"/>
    <col min="12037" max="12037" width="11.28515625" style="178" customWidth="1"/>
    <col min="12038" max="12038" width="14.140625" style="178" customWidth="1"/>
    <col min="12039" max="12039" width="12.42578125" style="178" customWidth="1"/>
    <col min="12040" max="12040" width="13.5703125" style="178" customWidth="1"/>
    <col min="12041" max="12041" width="13.28515625" style="178" customWidth="1"/>
    <col min="12042" max="12042" width="15.140625" style="178" customWidth="1"/>
    <col min="12043" max="12043" width="10.85546875" style="178" customWidth="1"/>
    <col min="12044" max="12044" width="9.140625" style="178"/>
    <col min="12045" max="12045" width="10" style="178" customWidth="1"/>
    <col min="12046" max="12288" width="9.140625" style="178"/>
    <col min="12289" max="12289" width="43.42578125" style="178" customWidth="1"/>
    <col min="12290" max="12290" width="11.5703125" style="178" customWidth="1"/>
    <col min="12291" max="12291" width="12.85546875" style="178" customWidth="1"/>
    <col min="12292" max="12292" width="10.85546875" style="178" customWidth="1"/>
    <col min="12293" max="12293" width="11.28515625" style="178" customWidth="1"/>
    <col min="12294" max="12294" width="14.140625" style="178" customWidth="1"/>
    <col min="12295" max="12295" width="12.42578125" style="178" customWidth="1"/>
    <col min="12296" max="12296" width="13.5703125" style="178" customWidth="1"/>
    <col min="12297" max="12297" width="13.28515625" style="178" customWidth="1"/>
    <col min="12298" max="12298" width="15.140625" style="178" customWidth="1"/>
    <col min="12299" max="12299" width="10.85546875" style="178" customWidth="1"/>
    <col min="12300" max="12300" width="9.140625" style="178"/>
    <col min="12301" max="12301" width="10" style="178" customWidth="1"/>
    <col min="12302" max="12544" width="9.140625" style="178"/>
    <col min="12545" max="12545" width="43.42578125" style="178" customWidth="1"/>
    <col min="12546" max="12546" width="11.5703125" style="178" customWidth="1"/>
    <col min="12547" max="12547" width="12.85546875" style="178" customWidth="1"/>
    <col min="12548" max="12548" width="10.85546875" style="178" customWidth="1"/>
    <col min="12549" max="12549" width="11.28515625" style="178" customWidth="1"/>
    <col min="12550" max="12550" width="14.140625" style="178" customWidth="1"/>
    <col min="12551" max="12551" width="12.42578125" style="178" customWidth="1"/>
    <col min="12552" max="12552" width="13.5703125" style="178" customWidth="1"/>
    <col min="12553" max="12553" width="13.28515625" style="178" customWidth="1"/>
    <col min="12554" max="12554" width="15.140625" style="178" customWidth="1"/>
    <col min="12555" max="12555" width="10.85546875" style="178" customWidth="1"/>
    <col min="12556" max="12556" width="9.140625" style="178"/>
    <col min="12557" max="12557" width="10" style="178" customWidth="1"/>
    <col min="12558" max="12800" width="9.140625" style="178"/>
    <col min="12801" max="12801" width="43.42578125" style="178" customWidth="1"/>
    <col min="12802" max="12802" width="11.5703125" style="178" customWidth="1"/>
    <col min="12803" max="12803" width="12.85546875" style="178" customWidth="1"/>
    <col min="12804" max="12804" width="10.85546875" style="178" customWidth="1"/>
    <col min="12805" max="12805" width="11.28515625" style="178" customWidth="1"/>
    <col min="12806" max="12806" width="14.140625" style="178" customWidth="1"/>
    <col min="12807" max="12807" width="12.42578125" style="178" customWidth="1"/>
    <col min="12808" max="12808" width="13.5703125" style="178" customWidth="1"/>
    <col min="12809" max="12809" width="13.28515625" style="178" customWidth="1"/>
    <col min="12810" max="12810" width="15.140625" style="178" customWidth="1"/>
    <col min="12811" max="12811" width="10.85546875" style="178" customWidth="1"/>
    <col min="12812" max="12812" width="9.140625" style="178"/>
    <col min="12813" max="12813" width="10" style="178" customWidth="1"/>
    <col min="12814" max="13056" width="9.140625" style="178"/>
    <col min="13057" max="13057" width="43.42578125" style="178" customWidth="1"/>
    <col min="13058" max="13058" width="11.5703125" style="178" customWidth="1"/>
    <col min="13059" max="13059" width="12.85546875" style="178" customWidth="1"/>
    <col min="13060" max="13060" width="10.85546875" style="178" customWidth="1"/>
    <col min="13061" max="13061" width="11.28515625" style="178" customWidth="1"/>
    <col min="13062" max="13062" width="14.140625" style="178" customWidth="1"/>
    <col min="13063" max="13063" width="12.42578125" style="178" customWidth="1"/>
    <col min="13064" max="13064" width="13.5703125" style="178" customWidth="1"/>
    <col min="13065" max="13065" width="13.28515625" style="178" customWidth="1"/>
    <col min="13066" max="13066" width="15.140625" style="178" customWidth="1"/>
    <col min="13067" max="13067" width="10.85546875" style="178" customWidth="1"/>
    <col min="13068" max="13068" width="9.140625" style="178"/>
    <col min="13069" max="13069" width="10" style="178" customWidth="1"/>
    <col min="13070" max="13312" width="9.140625" style="178"/>
    <col min="13313" max="13313" width="43.42578125" style="178" customWidth="1"/>
    <col min="13314" max="13314" width="11.5703125" style="178" customWidth="1"/>
    <col min="13315" max="13315" width="12.85546875" style="178" customWidth="1"/>
    <col min="13316" max="13316" width="10.85546875" style="178" customWidth="1"/>
    <col min="13317" max="13317" width="11.28515625" style="178" customWidth="1"/>
    <col min="13318" max="13318" width="14.140625" style="178" customWidth="1"/>
    <col min="13319" max="13319" width="12.42578125" style="178" customWidth="1"/>
    <col min="13320" max="13320" width="13.5703125" style="178" customWidth="1"/>
    <col min="13321" max="13321" width="13.28515625" style="178" customWidth="1"/>
    <col min="13322" max="13322" width="15.140625" style="178" customWidth="1"/>
    <col min="13323" max="13323" width="10.85546875" style="178" customWidth="1"/>
    <col min="13324" max="13324" width="9.140625" style="178"/>
    <col min="13325" max="13325" width="10" style="178" customWidth="1"/>
    <col min="13326" max="13568" width="9.140625" style="178"/>
    <col min="13569" max="13569" width="43.42578125" style="178" customWidth="1"/>
    <col min="13570" max="13570" width="11.5703125" style="178" customWidth="1"/>
    <col min="13571" max="13571" width="12.85546875" style="178" customWidth="1"/>
    <col min="13572" max="13572" width="10.85546875" style="178" customWidth="1"/>
    <col min="13573" max="13573" width="11.28515625" style="178" customWidth="1"/>
    <col min="13574" max="13574" width="14.140625" style="178" customWidth="1"/>
    <col min="13575" max="13575" width="12.42578125" style="178" customWidth="1"/>
    <col min="13576" max="13576" width="13.5703125" style="178" customWidth="1"/>
    <col min="13577" max="13577" width="13.28515625" style="178" customWidth="1"/>
    <col min="13578" max="13578" width="15.140625" style="178" customWidth="1"/>
    <col min="13579" max="13579" width="10.85546875" style="178" customWidth="1"/>
    <col min="13580" max="13580" width="9.140625" style="178"/>
    <col min="13581" max="13581" width="10" style="178" customWidth="1"/>
    <col min="13582" max="13824" width="9.140625" style="178"/>
    <col min="13825" max="13825" width="43.42578125" style="178" customWidth="1"/>
    <col min="13826" max="13826" width="11.5703125" style="178" customWidth="1"/>
    <col min="13827" max="13827" width="12.85546875" style="178" customWidth="1"/>
    <col min="13828" max="13828" width="10.85546875" style="178" customWidth="1"/>
    <col min="13829" max="13829" width="11.28515625" style="178" customWidth="1"/>
    <col min="13830" max="13830" width="14.140625" style="178" customWidth="1"/>
    <col min="13831" max="13831" width="12.42578125" style="178" customWidth="1"/>
    <col min="13832" max="13832" width="13.5703125" style="178" customWidth="1"/>
    <col min="13833" max="13833" width="13.28515625" style="178" customWidth="1"/>
    <col min="13834" max="13834" width="15.140625" style="178" customWidth="1"/>
    <col min="13835" max="13835" width="10.85546875" style="178" customWidth="1"/>
    <col min="13836" max="13836" width="9.140625" style="178"/>
    <col min="13837" max="13837" width="10" style="178" customWidth="1"/>
    <col min="13838" max="14080" width="9.140625" style="178"/>
    <col min="14081" max="14081" width="43.42578125" style="178" customWidth="1"/>
    <col min="14082" max="14082" width="11.5703125" style="178" customWidth="1"/>
    <col min="14083" max="14083" width="12.85546875" style="178" customWidth="1"/>
    <col min="14084" max="14084" width="10.85546875" style="178" customWidth="1"/>
    <col min="14085" max="14085" width="11.28515625" style="178" customWidth="1"/>
    <col min="14086" max="14086" width="14.140625" style="178" customWidth="1"/>
    <col min="14087" max="14087" width="12.42578125" style="178" customWidth="1"/>
    <col min="14088" max="14088" width="13.5703125" style="178" customWidth="1"/>
    <col min="14089" max="14089" width="13.28515625" style="178" customWidth="1"/>
    <col min="14090" max="14090" width="15.140625" style="178" customWidth="1"/>
    <col min="14091" max="14091" width="10.85546875" style="178" customWidth="1"/>
    <col min="14092" max="14092" width="9.140625" style="178"/>
    <col min="14093" max="14093" width="10" style="178" customWidth="1"/>
    <col min="14094" max="14336" width="9.140625" style="178"/>
    <col min="14337" max="14337" width="43.42578125" style="178" customWidth="1"/>
    <col min="14338" max="14338" width="11.5703125" style="178" customWidth="1"/>
    <col min="14339" max="14339" width="12.85546875" style="178" customWidth="1"/>
    <col min="14340" max="14340" width="10.85546875" style="178" customWidth="1"/>
    <col min="14341" max="14341" width="11.28515625" style="178" customWidth="1"/>
    <col min="14342" max="14342" width="14.140625" style="178" customWidth="1"/>
    <col min="14343" max="14343" width="12.42578125" style="178" customWidth="1"/>
    <col min="14344" max="14344" width="13.5703125" style="178" customWidth="1"/>
    <col min="14345" max="14345" width="13.28515625" style="178" customWidth="1"/>
    <col min="14346" max="14346" width="15.140625" style="178" customWidth="1"/>
    <col min="14347" max="14347" width="10.85546875" style="178" customWidth="1"/>
    <col min="14348" max="14348" width="9.140625" style="178"/>
    <col min="14349" max="14349" width="10" style="178" customWidth="1"/>
    <col min="14350" max="14592" width="9.140625" style="178"/>
    <col min="14593" max="14593" width="43.42578125" style="178" customWidth="1"/>
    <col min="14594" max="14594" width="11.5703125" style="178" customWidth="1"/>
    <col min="14595" max="14595" width="12.85546875" style="178" customWidth="1"/>
    <col min="14596" max="14596" width="10.85546875" style="178" customWidth="1"/>
    <col min="14597" max="14597" width="11.28515625" style="178" customWidth="1"/>
    <col min="14598" max="14598" width="14.140625" style="178" customWidth="1"/>
    <col min="14599" max="14599" width="12.42578125" style="178" customWidth="1"/>
    <col min="14600" max="14600" width="13.5703125" style="178" customWidth="1"/>
    <col min="14601" max="14601" width="13.28515625" style="178" customWidth="1"/>
    <col min="14602" max="14602" width="15.140625" style="178" customWidth="1"/>
    <col min="14603" max="14603" width="10.85546875" style="178" customWidth="1"/>
    <col min="14604" max="14604" width="9.140625" style="178"/>
    <col min="14605" max="14605" width="10" style="178" customWidth="1"/>
    <col min="14606" max="14848" width="9.140625" style="178"/>
    <col min="14849" max="14849" width="43.42578125" style="178" customWidth="1"/>
    <col min="14850" max="14850" width="11.5703125" style="178" customWidth="1"/>
    <col min="14851" max="14851" width="12.85546875" style="178" customWidth="1"/>
    <col min="14852" max="14852" width="10.85546875" style="178" customWidth="1"/>
    <col min="14853" max="14853" width="11.28515625" style="178" customWidth="1"/>
    <col min="14854" max="14854" width="14.140625" style="178" customWidth="1"/>
    <col min="14855" max="14855" width="12.42578125" style="178" customWidth="1"/>
    <col min="14856" max="14856" width="13.5703125" style="178" customWidth="1"/>
    <col min="14857" max="14857" width="13.28515625" style="178" customWidth="1"/>
    <col min="14858" max="14858" width="15.140625" style="178" customWidth="1"/>
    <col min="14859" max="14859" width="10.85546875" style="178" customWidth="1"/>
    <col min="14860" max="14860" width="9.140625" style="178"/>
    <col min="14861" max="14861" width="10" style="178" customWidth="1"/>
    <col min="14862" max="15104" width="9.140625" style="178"/>
    <col min="15105" max="15105" width="43.42578125" style="178" customWidth="1"/>
    <col min="15106" max="15106" width="11.5703125" style="178" customWidth="1"/>
    <col min="15107" max="15107" width="12.85546875" style="178" customWidth="1"/>
    <col min="15108" max="15108" width="10.85546875" style="178" customWidth="1"/>
    <col min="15109" max="15109" width="11.28515625" style="178" customWidth="1"/>
    <col min="15110" max="15110" width="14.140625" style="178" customWidth="1"/>
    <col min="15111" max="15111" width="12.42578125" style="178" customWidth="1"/>
    <col min="15112" max="15112" width="13.5703125" style="178" customWidth="1"/>
    <col min="15113" max="15113" width="13.28515625" style="178" customWidth="1"/>
    <col min="15114" max="15114" width="15.140625" style="178" customWidth="1"/>
    <col min="15115" max="15115" width="10.85546875" style="178" customWidth="1"/>
    <col min="15116" max="15116" width="9.140625" style="178"/>
    <col min="15117" max="15117" width="10" style="178" customWidth="1"/>
    <col min="15118" max="15360" width="9.140625" style="178"/>
    <col min="15361" max="15361" width="43.42578125" style="178" customWidth="1"/>
    <col min="15362" max="15362" width="11.5703125" style="178" customWidth="1"/>
    <col min="15363" max="15363" width="12.85546875" style="178" customWidth="1"/>
    <col min="15364" max="15364" width="10.85546875" style="178" customWidth="1"/>
    <col min="15365" max="15365" width="11.28515625" style="178" customWidth="1"/>
    <col min="15366" max="15366" width="14.140625" style="178" customWidth="1"/>
    <col min="15367" max="15367" width="12.42578125" style="178" customWidth="1"/>
    <col min="15368" max="15368" width="13.5703125" style="178" customWidth="1"/>
    <col min="15369" max="15369" width="13.28515625" style="178" customWidth="1"/>
    <col min="15370" max="15370" width="15.140625" style="178" customWidth="1"/>
    <col min="15371" max="15371" width="10.85546875" style="178" customWidth="1"/>
    <col min="15372" max="15372" width="9.140625" style="178"/>
    <col min="15373" max="15373" width="10" style="178" customWidth="1"/>
    <col min="15374" max="15616" width="9.140625" style="178"/>
    <col min="15617" max="15617" width="43.42578125" style="178" customWidth="1"/>
    <col min="15618" max="15618" width="11.5703125" style="178" customWidth="1"/>
    <col min="15619" max="15619" width="12.85546875" style="178" customWidth="1"/>
    <col min="15620" max="15620" width="10.85546875" style="178" customWidth="1"/>
    <col min="15621" max="15621" width="11.28515625" style="178" customWidth="1"/>
    <col min="15622" max="15622" width="14.140625" style="178" customWidth="1"/>
    <col min="15623" max="15623" width="12.42578125" style="178" customWidth="1"/>
    <col min="15624" max="15624" width="13.5703125" style="178" customWidth="1"/>
    <col min="15625" max="15625" width="13.28515625" style="178" customWidth="1"/>
    <col min="15626" max="15626" width="15.140625" style="178" customWidth="1"/>
    <col min="15627" max="15627" width="10.85546875" style="178" customWidth="1"/>
    <col min="15628" max="15628" width="9.140625" style="178"/>
    <col min="15629" max="15629" width="10" style="178" customWidth="1"/>
    <col min="15630" max="15872" width="9.140625" style="178"/>
    <col min="15873" max="15873" width="43.42578125" style="178" customWidth="1"/>
    <col min="15874" max="15874" width="11.5703125" style="178" customWidth="1"/>
    <col min="15875" max="15875" width="12.85546875" style="178" customWidth="1"/>
    <col min="15876" max="15876" width="10.85546875" style="178" customWidth="1"/>
    <col min="15877" max="15877" width="11.28515625" style="178" customWidth="1"/>
    <col min="15878" max="15878" width="14.140625" style="178" customWidth="1"/>
    <col min="15879" max="15879" width="12.42578125" style="178" customWidth="1"/>
    <col min="15880" max="15880" width="13.5703125" style="178" customWidth="1"/>
    <col min="15881" max="15881" width="13.28515625" style="178" customWidth="1"/>
    <col min="15882" max="15882" width="15.140625" style="178" customWidth="1"/>
    <col min="15883" max="15883" width="10.85546875" style="178" customWidth="1"/>
    <col min="15884" max="15884" width="9.140625" style="178"/>
    <col min="15885" max="15885" width="10" style="178" customWidth="1"/>
    <col min="15886" max="16128" width="9.140625" style="178"/>
    <col min="16129" max="16129" width="43.42578125" style="178" customWidth="1"/>
    <col min="16130" max="16130" width="11.5703125" style="178" customWidth="1"/>
    <col min="16131" max="16131" width="12.85546875" style="178" customWidth="1"/>
    <col min="16132" max="16132" width="10.85546875" style="178" customWidth="1"/>
    <col min="16133" max="16133" width="11.28515625" style="178" customWidth="1"/>
    <col min="16134" max="16134" width="14.140625" style="178" customWidth="1"/>
    <col min="16135" max="16135" width="12.42578125" style="178" customWidth="1"/>
    <col min="16136" max="16136" width="13.5703125" style="178" customWidth="1"/>
    <col min="16137" max="16137" width="13.28515625" style="178" customWidth="1"/>
    <col min="16138" max="16138" width="15.140625" style="178" customWidth="1"/>
    <col min="16139" max="16139" width="10.85546875" style="178" customWidth="1"/>
    <col min="16140" max="16140" width="9.140625" style="178"/>
    <col min="16141" max="16141" width="10" style="178" customWidth="1"/>
    <col min="16142" max="16384" width="9.140625" style="178"/>
  </cols>
  <sheetData>
    <row r="1" spans="1:14">
      <c r="A1" s="569" t="s">
        <v>233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</row>
    <row r="2" spans="1:14">
      <c r="A2" s="569" t="s">
        <v>488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</row>
    <row r="3" spans="1:14" ht="15">
      <c r="A3" s="489" t="s">
        <v>585</v>
      </c>
      <c r="B3" s="489"/>
      <c r="C3" s="489"/>
    </row>
    <row r="4" spans="1:14">
      <c r="A4" s="178" t="s">
        <v>272</v>
      </c>
      <c r="B4" s="570" t="s">
        <v>7</v>
      </c>
      <c r="C4" s="570"/>
      <c r="D4" s="570"/>
      <c r="E4" s="178" t="s">
        <v>490</v>
      </c>
      <c r="G4" s="570">
        <v>10</v>
      </c>
      <c r="H4" s="570"/>
      <c r="J4" s="178" t="s">
        <v>208</v>
      </c>
      <c r="K4" s="179">
        <f>492+132+657+542+897+283+387+874+146+136+684</f>
        <v>5230</v>
      </c>
      <c r="L4" s="178" t="s">
        <v>33</v>
      </c>
      <c r="N4" s="179">
        <v>800</v>
      </c>
    </row>
    <row r="6" spans="1:14">
      <c r="A6" s="178" t="s">
        <v>347</v>
      </c>
      <c r="B6" s="571" t="s">
        <v>526</v>
      </c>
      <c r="C6" s="572"/>
      <c r="D6" s="573"/>
      <c r="E6" s="178" t="s">
        <v>492</v>
      </c>
      <c r="G6" s="571" t="s">
        <v>526</v>
      </c>
      <c r="H6" s="572"/>
      <c r="I6" s="573"/>
    </row>
    <row r="8" spans="1:14" ht="12.75" customHeight="1">
      <c r="A8" s="574" t="s">
        <v>527</v>
      </c>
      <c r="B8" s="575" t="s">
        <v>528</v>
      </c>
      <c r="C8" s="576"/>
      <c r="D8" s="577"/>
      <c r="E8" s="584"/>
      <c r="F8" s="584"/>
      <c r="G8" s="575" t="s">
        <v>529</v>
      </c>
      <c r="H8" s="576"/>
      <c r="I8" s="577"/>
    </row>
    <row r="9" spans="1:14">
      <c r="A9" s="574"/>
      <c r="B9" s="578"/>
      <c r="C9" s="579"/>
      <c r="D9" s="580"/>
      <c r="E9" s="584"/>
      <c r="F9" s="584"/>
      <c r="G9" s="578"/>
      <c r="H9" s="579"/>
      <c r="I9" s="580"/>
    </row>
    <row r="10" spans="1:14">
      <c r="B10" s="581"/>
      <c r="C10" s="582"/>
      <c r="D10" s="583"/>
      <c r="G10" s="581"/>
      <c r="H10" s="582"/>
      <c r="I10" s="583"/>
    </row>
    <row r="14" spans="1:14">
      <c r="A14" s="178" t="s">
        <v>234</v>
      </c>
      <c r="B14" s="179">
        <v>28</v>
      </c>
      <c r="C14" s="178" t="s">
        <v>35</v>
      </c>
      <c r="F14" s="179">
        <v>28</v>
      </c>
      <c r="G14" s="178" t="s">
        <v>36</v>
      </c>
      <c r="H14" s="179">
        <v>109</v>
      </c>
      <c r="I14" s="178" t="s">
        <v>37</v>
      </c>
      <c r="J14" s="179">
        <v>13</v>
      </c>
      <c r="K14" s="178" t="s">
        <v>38</v>
      </c>
      <c r="L14" s="179"/>
    </row>
    <row r="17" spans="1:14">
      <c r="A17" s="178" t="s">
        <v>39</v>
      </c>
      <c r="B17" s="178" t="s">
        <v>40</v>
      </c>
      <c r="C17" s="179">
        <f>26+68+186+36+42+142+66+73+41+55</f>
        <v>735</v>
      </c>
      <c r="D17" s="178" t="s">
        <v>41</v>
      </c>
      <c r="E17" s="179">
        <f>5+6+66+31+55+5+14+32</f>
        <v>214</v>
      </c>
      <c r="F17" s="178" t="s">
        <v>42</v>
      </c>
      <c r="G17" s="179">
        <v>0</v>
      </c>
      <c r="H17" s="178" t="s">
        <v>64</v>
      </c>
      <c r="I17" s="179">
        <f>C17+E17</f>
        <v>949</v>
      </c>
      <c r="J17" s="178" t="s">
        <v>43</v>
      </c>
      <c r="K17" s="179">
        <v>114</v>
      </c>
      <c r="L17" s="178" t="s">
        <v>232</v>
      </c>
      <c r="N17" s="179">
        <v>109</v>
      </c>
    </row>
    <row r="18" spans="1:14">
      <c r="A18" s="178" t="s">
        <v>132</v>
      </c>
      <c r="B18" s="178" t="s">
        <v>46</v>
      </c>
      <c r="C18" s="179">
        <v>1863</v>
      </c>
      <c r="D18" s="178" t="s">
        <v>47</v>
      </c>
      <c r="E18" s="179">
        <v>580</v>
      </c>
      <c r="F18" s="178" t="s">
        <v>48</v>
      </c>
      <c r="G18" s="179">
        <v>120</v>
      </c>
      <c r="H18" s="178" t="s">
        <v>77</v>
      </c>
      <c r="I18" s="179">
        <v>2563</v>
      </c>
    </row>
    <row r="19" spans="1:14">
      <c r="B19" s="178" t="s">
        <v>49</v>
      </c>
      <c r="C19" s="179">
        <v>1920</v>
      </c>
      <c r="D19" s="178" t="s">
        <v>50</v>
      </c>
      <c r="E19" s="179">
        <v>567</v>
      </c>
      <c r="F19" s="178" t="s">
        <v>51</v>
      </c>
      <c r="G19" s="179">
        <v>202</v>
      </c>
      <c r="H19" s="178" t="s">
        <v>76</v>
      </c>
      <c r="I19" s="179">
        <v>2699</v>
      </c>
    </row>
    <row r="21" spans="1:14">
      <c r="A21" s="180" t="s">
        <v>52</v>
      </c>
    </row>
    <row r="23" spans="1:14">
      <c r="A23" s="585" t="s">
        <v>53</v>
      </c>
      <c r="B23" s="586" t="s">
        <v>235</v>
      </c>
      <c r="C23" s="585" t="s">
        <v>55</v>
      </c>
      <c r="D23" s="586" t="s">
        <v>157</v>
      </c>
      <c r="E23" s="586" t="s">
        <v>164</v>
      </c>
      <c r="F23" s="179" t="s">
        <v>497</v>
      </c>
      <c r="G23" s="179"/>
      <c r="H23" s="179"/>
      <c r="I23" s="179"/>
      <c r="J23" s="179"/>
      <c r="K23" s="179"/>
      <c r="L23" s="179"/>
      <c r="M23" s="179"/>
      <c r="N23" s="179"/>
    </row>
    <row r="24" spans="1:14">
      <c r="A24" s="585"/>
      <c r="B24" s="586"/>
      <c r="C24" s="585"/>
      <c r="D24" s="586"/>
      <c r="E24" s="586"/>
      <c r="F24" s="181" t="s">
        <v>61</v>
      </c>
      <c r="G24" s="181" t="s">
        <v>62</v>
      </c>
      <c r="H24" s="181" t="s">
        <v>63</v>
      </c>
      <c r="I24" s="181" t="s">
        <v>108</v>
      </c>
      <c r="J24" s="181" t="s">
        <v>109</v>
      </c>
      <c r="K24" s="181" t="s">
        <v>110</v>
      </c>
      <c r="L24" s="181" t="s">
        <v>111</v>
      </c>
      <c r="M24" s="179" t="s">
        <v>64</v>
      </c>
      <c r="N24" s="179" t="s">
        <v>65</v>
      </c>
    </row>
    <row r="25" spans="1:14">
      <c r="A25" s="179" t="s">
        <v>370</v>
      </c>
      <c r="B25" s="179">
        <v>500</v>
      </c>
      <c r="C25" s="179" t="s">
        <v>300</v>
      </c>
      <c r="D25" s="182">
        <v>25</v>
      </c>
      <c r="E25" s="179">
        <f>924500+500000+250000</f>
        <v>1674500</v>
      </c>
      <c r="F25" s="179">
        <v>0</v>
      </c>
      <c r="G25" s="179">
        <v>403860</v>
      </c>
      <c r="H25" s="179">
        <f>4205+6960+14201+24715+11760+39211+11935+16935+44600+44492+19633+62976</f>
        <v>301623</v>
      </c>
      <c r="I25" s="179"/>
      <c r="J25" s="179"/>
      <c r="K25" s="179"/>
      <c r="L25" s="179"/>
      <c r="M25" s="179"/>
      <c r="N25" s="179"/>
    </row>
    <row r="26" spans="1:14">
      <c r="A26" s="179" t="s">
        <v>338</v>
      </c>
      <c r="B26" s="179">
        <v>360</v>
      </c>
      <c r="C26" s="179" t="s">
        <v>300</v>
      </c>
      <c r="D26" s="182">
        <v>18</v>
      </c>
      <c r="E26" s="179">
        <f>89500+500000+300000</f>
        <v>889500</v>
      </c>
      <c r="F26" s="179">
        <v>0</v>
      </c>
      <c r="G26" s="179">
        <v>109258</v>
      </c>
      <c r="H26" s="179">
        <f>51345</f>
        <v>51345</v>
      </c>
      <c r="I26" s="179"/>
      <c r="J26" s="179"/>
      <c r="K26" s="179"/>
      <c r="L26" s="179"/>
      <c r="M26" s="179"/>
      <c r="N26" s="179"/>
    </row>
    <row r="27" spans="1:14">
      <c r="A27" s="179" t="s">
        <v>321</v>
      </c>
      <c r="B27" s="179">
        <v>8.4</v>
      </c>
      <c r="C27" s="179" t="s">
        <v>363</v>
      </c>
      <c r="D27" s="182">
        <v>58.8</v>
      </c>
      <c r="E27" s="179">
        <f>G27+H27</f>
        <v>660424</v>
      </c>
      <c r="F27" s="179">
        <v>0</v>
      </c>
      <c r="G27" s="179">
        <v>248871</v>
      </c>
      <c r="H27" s="179">
        <f>60000+60000+28166+22833+63000+42758+47054+52742+35000</f>
        <v>411553</v>
      </c>
      <c r="I27" s="179"/>
      <c r="J27" s="179"/>
      <c r="K27" s="179"/>
      <c r="L27" s="179"/>
      <c r="M27" s="179"/>
      <c r="N27" s="179"/>
    </row>
    <row r="28" spans="1:14">
      <c r="A28" s="179" t="s">
        <v>246</v>
      </c>
      <c r="B28" s="179">
        <v>0.84</v>
      </c>
      <c r="C28" s="179" t="s">
        <v>363</v>
      </c>
      <c r="D28" s="182">
        <v>5.88</v>
      </c>
      <c r="E28" s="179">
        <f>G28+H28</f>
        <v>117014</v>
      </c>
      <c r="F28" s="179">
        <v>0</v>
      </c>
      <c r="G28" s="179">
        <v>56250</v>
      </c>
      <c r="H28" s="179">
        <f>15000+7014+15000+4208+5000+3292+3750+3750+3750</f>
        <v>60764</v>
      </c>
      <c r="I28" s="179"/>
      <c r="J28" s="179"/>
      <c r="K28" s="179"/>
      <c r="L28" s="179"/>
      <c r="M28" s="179"/>
      <c r="N28" s="179"/>
    </row>
    <row r="29" spans="1:14">
      <c r="A29" s="179" t="s">
        <v>530</v>
      </c>
      <c r="B29" s="179">
        <v>3.6</v>
      </c>
      <c r="C29" s="179" t="s">
        <v>363</v>
      </c>
      <c r="D29" s="182">
        <v>25.2</v>
      </c>
      <c r="E29" s="179">
        <f>G29+H29</f>
        <v>370000</v>
      </c>
      <c r="F29" s="179">
        <v>0</v>
      </c>
      <c r="G29" s="179">
        <v>140000</v>
      </c>
      <c r="H29" s="179">
        <f>40000+36000+18000+38000+18000+80000</f>
        <v>230000</v>
      </c>
      <c r="I29" s="179"/>
      <c r="J29" s="179"/>
      <c r="K29" s="179"/>
      <c r="L29" s="179"/>
      <c r="M29" s="179"/>
      <c r="N29" s="179"/>
    </row>
    <row r="30" spans="1:14">
      <c r="A30" s="179" t="s">
        <v>305</v>
      </c>
      <c r="B30" s="179">
        <v>0.24</v>
      </c>
      <c r="C30" s="179" t="s">
        <v>363</v>
      </c>
      <c r="D30" s="182">
        <v>1.68</v>
      </c>
      <c r="E30" s="179">
        <f>G30+H30</f>
        <v>38000</v>
      </c>
      <c r="F30" s="179">
        <v>0</v>
      </c>
      <c r="G30" s="179">
        <v>14000</v>
      </c>
      <c r="H30" s="179">
        <v>24000</v>
      </c>
      <c r="I30" s="179"/>
      <c r="J30" s="179"/>
      <c r="K30" s="179"/>
      <c r="L30" s="179"/>
      <c r="M30" s="179"/>
      <c r="N30" s="179"/>
    </row>
    <row r="31" spans="1:14">
      <c r="A31" s="179" t="s">
        <v>306</v>
      </c>
      <c r="B31" s="179">
        <v>0.24</v>
      </c>
      <c r="C31" s="179" t="s">
        <v>363</v>
      </c>
      <c r="D31" s="182">
        <v>1.68</v>
      </c>
      <c r="E31" s="179">
        <f>G31+H31</f>
        <v>55289</v>
      </c>
      <c r="F31" s="179">
        <v>0</v>
      </c>
      <c r="G31" s="179">
        <v>18809</v>
      </c>
      <c r="H31" s="179">
        <f>1189+4604+2687+2637+6054+6916+3860+2000+2025+340+246+3922</f>
        <v>36480</v>
      </c>
      <c r="I31" s="179"/>
      <c r="J31" s="179"/>
      <c r="K31" s="179"/>
      <c r="L31" s="179"/>
      <c r="M31" s="179"/>
      <c r="N31" s="179"/>
    </row>
    <row r="32" spans="1:14">
      <c r="A32" s="179" t="s">
        <v>113</v>
      </c>
      <c r="B32" s="179">
        <v>0.2</v>
      </c>
      <c r="C32" s="179" t="s">
        <v>68</v>
      </c>
      <c r="D32" s="182">
        <v>0.2</v>
      </c>
      <c r="E32" s="179">
        <v>20000</v>
      </c>
      <c r="F32" s="179">
        <v>20908</v>
      </c>
      <c r="G32" s="179">
        <v>7775</v>
      </c>
      <c r="H32" s="179">
        <v>0</v>
      </c>
      <c r="I32" s="179"/>
      <c r="J32" s="179"/>
      <c r="K32" s="179"/>
      <c r="L32" s="179"/>
      <c r="M32" s="179"/>
      <c r="N32" s="179"/>
    </row>
    <row r="33" spans="1:14">
      <c r="A33" s="179" t="s">
        <v>239</v>
      </c>
      <c r="B33" s="179"/>
      <c r="C33" s="179"/>
      <c r="D33" s="183">
        <f>SUM(D25:D32)</f>
        <v>136.44</v>
      </c>
      <c r="E33" s="183">
        <f t="shared" ref="E33:K33" si="0">SUM(E25:E32)</f>
        <v>3824727</v>
      </c>
      <c r="F33" s="183">
        <f t="shared" si="0"/>
        <v>20908</v>
      </c>
      <c r="G33" s="183">
        <f t="shared" si="0"/>
        <v>998823</v>
      </c>
      <c r="H33" s="183">
        <f t="shared" si="0"/>
        <v>1115765</v>
      </c>
      <c r="I33" s="183">
        <f t="shared" si="0"/>
        <v>0</v>
      </c>
      <c r="J33" s="183">
        <f t="shared" si="0"/>
        <v>0</v>
      </c>
      <c r="K33" s="183">
        <f t="shared" si="0"/>
        <v>0</v>
      </c>
      <c r="L33" s="179"/>
      <c r="M33" s="179"/>
      <c r="N33" s="179"/>
    </row>
  </sheetData>
  <mergeCells count="16">
    <mergeCell ref="A8:A9"/>
    <mergeCell ref="B8:D10"/>
    <mergeCell ref="E8:F9"/>
    <mergeCell ref="G8:I10"/>
    <mergeCell ref="A23:A24"/>
    <mergeCell ref="B23:B24"/>
    <mergeCell ref="C23:C24"/>
    <mergeCell ref="D23:D24"/>
    <mergeCell ref="E23:E24"/>
    <mergeCell ref="A1:N1"/>
    <mergeCell ref="A2:N2"/>
    <mergeCell ref="B4:D4"/>
    <mergeCell ref="G4:H4"/>
    <mergeCell ref="B6:D6"/>
    <mergeCell ref="G6:I6"/>
    <mergeCell ref="A3:C3"/>
  </mergeCells>
  <hyperlinks>
    <hyperlink ref="A3" location="'Fact Sheet of VDC'!A1" display="&lt;&lt;Back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workbookViewId="0">
      <selection activeCell="A3" sqref="A3:C3"/>
    </sheetView>
  </sheetViews>
  <sheetFormatPr defaultRowHeight="15"/>
  <cols>
    <col min="1" max="1" width="30.42578125" style="248" customWidth="1"/>
    <col min="2" max="2" width="9.140625" style="248"/>
    <col min="3" max="3" width="8.5703125" style="248" customWidth="1"/>
    <col min="4" max="4" width="9.140625" style="248"/>
    <col min="5" max="5" width="13.28515625" style="248" customWidth="1"/>
    <col min="6" max="6" width="6.7109375" style="248" customWidth="1"/>
    <col min="7" max="7" width="10.140625" style="248" bestFit="1" customWidth="1"/>
    <col min="8" max="8" width="7" style="248" customWidth="1"/>
    <col min="9" max="9" width="9.7109375" style="248" bestFit="1" customWidth="1"/>
    <col min="10" max="10" width="7.42578125" style="248" customWidth="1"/>
    <col min="11" max="11" width="9.140625" style="248"/>
    <col min="12" max="12" width="7.5703125" style="248" customWidth="1"/>
    <col min="13" max="13" width="8.7109375" style="248" customWidth="1"/>
    <col min="14" max="14" width="7.140625" style="248" customWidth="1"/>
    <col min="15" max="16384" width="9.140625" style="248"/>
  </cols>
  <sheetData>
    <row r="1" spans="1:14">
      <c r="A1" s="589" t="s">
        <v>31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</row>
    <row r="2" spans="1:14">
      <c r="A2" s="589" t="s">
        <v>546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</row>
    <row r="3" spans="1:14">
      <c r="A3" s="489" t="s">
        <v>585</v>
      </c>
      <c r="B3" s="489"/>
      <c r="C3" s="489"/>
    </row>
    <row r="4" spans="1:14">
      <c r="A4" s="11" t="s">
        <v>309</v>
      </c>
      <c r="B4" s="587" t="s">
        <v>547</v>
      </c>
      <c r="C4" s="588"/>
      <c r="D4" s="11" t="s">
        <v>548</v>
      </c>
      <c r="F4" s="587">
        <v>10</v>
      </c>
      <c r="G4" s="588"/>
      <c r="H4" s="590" t="s">
        <v>4</v>
      </c>
      <c r="I4" s="591"/>
      <c r="J4" s="12">
        <v>5083.18</v>
      </c>
      <c r="K4" s="11" t="s">
        <v>86</v>
      </c>
      <c r="M4" s="12"/>
    </row>
    <row r="5" spans="1:14">
      <c r="A5" s="11"/>
    </row>
    <row r="6" spans="1:14">
      <c r="A6" s="11" t="s">
        <v>549</v>
      </c>
      <c r="B6" s="587"/>
      <c r="C6" s="588"/>
      <c r="D6" s="11" t="s">
        <v>280</v>
      </c>
      <c r="F6" s="587" t="s">
        <v>550</v>
      </c>
      <c r="G6" s="588"/>
      <c r="H6" s="414"/>
      <c r="I6" s="414"/>
    </row>
    <row r="7" spans="1:14">
      <c r="A7" s="11"/>
    </row>
    <row r="8" spans="1:14">
      <c r="A8" s="592" t="s">
        <v>551</v>
      </c>
      <c r="B8" s="593" t="s">
        <v>552</v>
      </c>
      <c r="C8" s="594"/>
      <c r="F8" s="597" t="s">
        <v>553</v>
      </c>
      <c r="G8" s="598"/>
      <c r="H8" s="598"/>
      <c r="I8" s="599"/>
    </row>
    <row r="9" spans="1:14" ht="21" customHeight="1">
      <c r="A9" s="592"/>
      <c r="B9" s="595"/>
      <c r="C9" s="596"/>
      <c r="F9" s="600"/>
      <c r="G9" s="601"/>
      <c r="H9" s="601"/>
      <c r="I9" s="602"/>
    </row>
    <row r="10" spans="1:14">
      <c r="A10" s="11"/>
      <c r="B10" s="197"/>
      <c r="C10" s="197"/>
      <c r="F10" s="197"/>
      <c r="G10" s="197"/>
      <c r="H10" s="197"/>
      <c r="I10" s="197"/>
    </row>
    <row r="11" spans="1:14">
      <c r="A11" s="11" t="s">
        <v>554</v>
      </c>
      <c r="B11" s="198">
        <v>23</v>
      </c>
      <c r="C11" s="197" t="s">
        <v>555</v>
      </c>
      <c r="F11" s="253">
        <v>4</v>
      </c>
      <c r="G11" s="197" t="s">
        <v>556</v>
      </c>
      <c r="H11" s="198">
        <v>89</v>
      </c>
      <c r="I11" s="197" t="s">
        <v>160</v>
      </c>
      <c r="J11" s="253">
        <v>20</v>
      </c>
      <c r="K11" s="197" t="s">
        <v>161</v>
      </c>
      <c r="L11" s="253">
        <v>380</v>
      </c>
    </row>
    <row r="12" spans="1:14">
      <c r="A12" s="11"/>
      <c r="B12" s="197"/>
      <c r="C12" s="197"/>
      <c r="F12" s="197"/>
      <c r="G12" s="197"/>
      <c r="H12" s="197"/>
      <c r="I12" s="197"/>
    </row>
    <row r="13" spans="1:14">
      <c r="A13" s="11"/>
    </row>
    <row r="14" spans="1:14" ht="22.5">
      <c r="A14" s="11" t="s">
        <v>96</v>
      </c>
      <c r="C14" s="11" t="s">
        <v>40</v>
      </c>
      <c r="D14" s="20">
        <v>814</v>
      </c>
      <c r="E14" s="11" t="s">
        <v>41</v>
      </c>
      <c r="F14" s="20">
        <v>204</v>
      </c>
      <c r="G14" s="11" t="s">
        <v>42</v>
      </c>
      <c r="H14" s="20">
        <v>232</v>
      </c>
      <c r="I14" s="11" t="s">
        <v>64</v>
      </c>
      <c r="J14" s="20">
        <v>1250</v>
      </c>
      <c r="K14" s="11" t="s">
        <v>43</v>
      </c>
      <c r="L14" s="253">
        <v>242</v>
      </c>
      <c r="M14" s="199" t="s">
        <v>557</v>
      </c>
      <c r="N14" s="253"/>
    </row>
    <row r="15" spans="1:14">
      <c r="A15" s="11" t="s">
        <v>45</v>
      </c>
      <c r="C15" s="11" t="s">
        <v>46</v>
      </c>
      <c r="D15" s="20">
        <v>1593</v>
      </c>
      <c r="E15" s="11" t="s">
        <v>47</v>
      </c>
      <c r="F15" s="20">
        <v>432</v>
      </c>
      <c r="G15" s="11" t="s">
        <v>48</v>
      </c>
      <c r="H15" s="20">
        <v>453</v>
      </c>
      <c r="I15" s="11" t="s">
        <v>77</v>
      </c>
      <c r="J15" s="20">
        <v>2478</v>
      </c>
    </row>
    <row r="16" spans="1:14">
      <c r="A16" s="11"/>
      <c r="C16" s="11" t="s">
        <v>49</v>
      </c>
      <c r="D16" s="20">
        <v>1509</v>
      </c>
      <c r="E16" s="11" t="s">
        <v>50</v>
      </c>
      <c r="F16" s="20">
        <v>543</v>
      </c>
      <c r="G16" s="11" t="s">
        <v>162</v>
      </c>
      <c r="H16" s="20">
        <v>446</v>
      </c>
      <c r="I16" s="11" t="s">
        <v>76</v>
      </c>
      <c r="J16" s="20">
        <v>2498</v>
      </c>
    </row>
    <row r="18" spans="1:14">
      <c r="A18" s="200" t="s">
        <v>52</v>
      </c>
    </row>
    <row r="19" spans="1:14">
      <c r="A19" s="603" t="s">
        <v>53</v>
      </c>
      <c r="B19" s="603" t="s">
        <v>54</v>
      </c>
      <c r="C19" s="603" t="s">
        <v>55</v>
      </c>
      <c r="D19" s="603" t="s">
        <v>73</v>
      </c>
      <c r="E19" s="603" t="s">
        <v>126</v>
      </c>
      <c r="F19" s="604" t="s">
        <v>558</v>
      </c>
      <c r="G19" s="604"/>
      <c r="H19" s="604"/>
      <c r="I19" s="604"/>
      <c r="J19" s="604"/>
      <c r="K19" s="604"/>
      <c r="L19" s="604"/>
      <c r="M19" s="604"/>
      <c r="N19" s="604"/>
    </row>
    <row r="20" spans="1:14">
      <c r="A20" s="603"/>
      <c r="B20" s="603"/>
      <c r="C20" s="603"/>
      <c r="D20" s="603"/>
      <c r="E20" s="603"/>
      <c r="F20" s="413" t="s">
        <v>61</v>
      </c>
      <c r="G20" s="413" t="s">
        <v>62</v>
      </c>
      <c r="H20" s="413" t="s">
        <v>63</v>
      </c>
      <c r="I20" s="413">
        <v>4</v>
      </c>
      <c r="J20" s="413">
        <v>5</v>
      </c>
      <c r="K20" s="413">
        <v>6</v>
      </c>
      <c r="L20" s="413">
        <v>7</v>
      </c>
      <c r="M20" s="413" t="s">
        <v>64</v>
      </c>
      <c r="N20" s="413" t="s">
        <v>65</v>
      </c>
    </row>
    <row r="21" spans="1:14" ht="22.5">
      <c r="A21" s="201" t="s">
        <v>370</v>
      </c>
      <c r="B21" s="201">
        <v>500</v>
      </c>
      <c r="C21" s="202" t="s">
        <v>559</v>
      </c>
      <c r="D21" s="203">
        <f>B21*J4/100000</f>
        <v>25.415900000000001</v>
      </c>
      <c r="E21" s="415">
        <v>18.178999999999998</v>
      </c>
      <c r="F21" s="415">
        <v>11.78</v>
      </c>
      <c r="G21" s="415">
        <v>5.29528</v>
      </c>
      <c r="H21" s="415">
        <v>2.5249799999999998</v>
      </c>
      <c r="I21" s="415">
        <v>0</v>
      </c>
      <c r="J21" s="415">
        <v>0</v>
      </c>
      <c r="K21" s="415">
        <v>0</v>
      </c>
      <c r="L21" s="415">
        <v>0</v>
      </c>
      <c r="M21" s="415">
        <f>SUM(F21:L21)</f>
        <v>19.600259999999999</v>
      </c>
      <c r="N21" s="415">
        <f>M21/E21*100</f>
        <v>107.81814181198087</v>
      </c>
    </row>
    <row r="22" spans="1:14">
      <c r="A22" s="201" t="s">
        <v>338</v>
      </c>
      <c r="B22" s="201">
        <v>360</v>
      </c>
      <c r="C22" s="202" t="s">
        <v>559</v>
      </c>
      <c r="D22" s="203">
        <f>B22*J4/100000</f>
        <v>18.299448000000002</v>
      </c>
      <c r="E22" s="415">
        <v>9.5850000000000009</v>
      </c>
      <c r="F22" s="415">
        <v>0.79098999999999997</v>
      </c>
      <c r="G22" s="415">
        <v>2.4939200000000001</v>
      </c>
      <c r="H22" s="415">
        <v>3.31881</v>
      </c>
      <c r="I22" s="415">
        <v>0</v>
      </c>
      <c r="J22" s="415">
        <v>0</v>
      </c>
      <c r="K22" s="415">
        <v>0</v>
      </c>
      <c r="L22" s="415">
        <v>0</v>
      </c>
      <c r="M22" s="415">
        <f t="shared" ref="M22:M28" si="0">SUM(F22:L22)</f>
        <v>6.60372</v>
      </c>
      <c r="N22" s="415">
        <f t="shared" ref="N22:N29" si="1">M22/E22*100</f>
        <v>68.896400625978089</v>
      </c>
    </row>
    <row r="23" spans="1:14" ht="22.5">
      <c r="A23" s="201" t="s">
        <v>321</v>
      </c>
      <c r="B23" s="201">
        <v>8.4</v>
      </c>
      <c r="C23" s="202" t="s">
        <v>560</v>
      </c>
      <c r="D23" s="203">
        <v>58.8</v>
      </c>
      <c r="E23" s="415">
        <v>9.73</v>
      </c>
      <c r="F23" s="415">
        <v>3.03</v>
      </c>
      <c r="G23" s="415">
        <v>3.42</v>
      </c>
      <c r="H23" s="415">
        <v>3.25</v>
      </c>
      <c r="I23" s="415">
        <v>0</v>
      </c>
      <c r="J23" s="415">
        <v>0</v>
      </c>
      <c r="K23" s="415">
        <v>0</v>
      </c>
      <c r="L23" s="415">
        <v>0</v>
      </c>
      <c r="M23" s="415">
        <f t="shared" si="0"/>
        <v>9.6999999999999993</v>
      </c>
      <c r="N23" s="415">
        <f t="shared" si="1"/>
        <v>99.691675231243565</v>
      </c>
    </row>
    <row r="24" spans="1:14" ht="22.5">
      <c r="A24" s="201" t="s">
        <v>561</v>
      </c>
      <c r="B24" s="201">
        <v>0.84</v>
      </c>
      <c r="C24" s="202" t="s">
        <v>560</v>
      </c>
      <c r="D24" s="203">
        <v>5.88</v>
      </c>
      <c r="E24" s="415">
        <v>3.37</v>
      </c>
      <c r="F24" s="415">
        <v>0.95</v>
      </c>
      <c r="G24" s="415">
        <v>1.1000000000000001</v>
      </c>
      <c r="H24" s="415">
        <v>1.32</v>
      </c>
      <c r="I24" s="415">
        <v>0</v>
      </c>
      <c r="J24" s="415">
        <v>0</v>
      </c>
      <c r="K24" s="415">
        <v>0</v>
      </c>
      <c r="L24" s="415">
        <v>0</v>
      </c>
      <c r="M24" s="415">
        <f t="shared" si="0"/>
        <v>3.37</v>
      </c>
      <c r="N24" s="415">
        <f t="shared" si="1"/>
        <v>100</v>
      </c>
    </row>
    <row r="25" spans="1:14" ht="22.5">
      <c r="A25" s="201" t="s">
        <v>322</v>
      </c>
      <c r="B25" s="201">
        <v>3.6</v>
      </c>
      <c r="C25" s="202" t="s">
        <v>560</v>
      </c>
      <c r="D25" s="203">
        <v>25.2</v>
      </c>
      <c r="E25" s="415">
        <v>6.08</v>
      </c>
      <c r="F25" s="415">
        <v>2.0499999999999998</v>
      </c>
      <c r="G25" s="415">
        <v>1.85</v>
      </c>
      <c r="H25" s="415">
        <v>2.1800000000000002</v>
      </c>
      <c r="I25" s="415">
        <v>0</v>
      </c>
      <c r="J25" s="415">
        <v>0</v>
      </c>
      <c r="K25" s="415">
        <v>0</v>
      </c>
      <c r="L25" s="415">
        <v>0</v>
      </c>
      <c r="M25" s="415">
        <f t="shared" si="0"/>
        <v>6.08</v>
      </c>
      <c r="N25" s="415">
        <f t="shared" si="1"/>
        <v>100</v>
      </c>
    </row>
    <row r="26" spans="1:14" ht="22.5">
      <c r="A26" s="201" t="s">
        <v>305</v>
      </c>
      <c r="B26" s="201">
        <v>0.24</v>
      </c>
      <c r="C26" s="202" t="s">
        <v>560</v>
      </c>
      <c r="D26" s="203">
        <v>1.68</v>
      </c>
      <c r="E26" s="415">
        <v>0.72</v>
      </c>
      <c r="F26" s="415">
        <v>0.24</v>
      </c>
      <c r="G26" s="415">
        <v>0.24</v>
      </c>
      <c r="H26" s="415">
        <v>0.24</v>
      </c>
      <c r="I26" s="415">
        <v>0</v>
      </c>
      <c r="J26" s="415">
        <v>0</v>
      </c>
      <c r="K26" s="415">
        <v>0</v>
      </c>
      <c r="L26" s="415">
        <v>0</v>
      </c>
      <c r="M26" s="415">
        <f t="shared" si="0"/>
        <v>0.72</v>
      </c>
      <c r="N26" s="415">
        <f t="shared" si="1"/>
        <v>100</v>
      </c>
    </row>
    <row r="27" spans="1:14" ht="22.5">
      <c r="A27" s="201" t="s">
        <v>306</v>
      </c>
      <c r="B27" s="201">
        <v>0.24</v>
      </c>
      <c r="C27" s="202" t="s">
        <v>560</v>
      </c>
      <c r="D27" s="203">
        <v>1.68</v>
      </c>
      <c r="E27" s="415">
        <v>1.1099999999999999</v>
      </c>
      <c r="F27" s="415">
        <v>0.36</v>
      </c>
      <c r="G27" s="415">
        <v>0.34</v>
      </c>
      <c r="H27" s="415">
        <v>0.41</v>
      </c>
      <c r="I27" s="415">
        <v>0</v>
      </c>
      <c r="J27" s="415">
        <v>0</v>
      </c>
      <c r="K27" s="415">
        <v>0</v>
      </c>
      <c r="L27" s="415">
        <v>0</v>
      </c>
      <c r="M27" s="415">
        <f t="shared" si="0"/>
        <v>1.1099999999999999</v>
      </c>
      <c r="N27" s="415">
        <f t="shared" si="1"/>
        <v>100</v>
      </c>
    </row>
    <row r="28" spans="1:14">
      <c r="A28" s="201" t="s">
        <v>113</v>
      </c>
      <c r="B28" s="201">
        <v>0.2</v>
      </c>
      <c r="C28" s="202" t="s">
        <v>68</v>
      </c>
      <c r="D28" s="203">
        <v>0.2</v>
      </c>
      <c r="E28" s="415">
        <v>0.2</v>
      </c>
      <c r="F28" s="415">
        <v>0.2</v>
      </c>
      <c r="G28" s="415">
        <v>0</v>
      </c>
      <c r="H28" s="415">
        <v>0</v>
      </c>
      <c r="I28" s="415">
        <v>0</v>
      </c>
      <c r="J28" s="415">
        <v>0</v>
      </c>
      <c r="K28" s="415">
        <v>0</v>
      </c>
      <c r="L28" s="415">
        <v>0</v>
      </c>
      <c r="M28" s="415">
        <f t="shared" si="0"/>
        <v>0.2</v>
      </c>
      <c r="N28" s="415">
        <f t="shared" si="1"/>
        <v>100</v>
      </c>
    </row>
    <row r="29" spans="1:14">
      <c r="A29" s="412" t="s">
        <v>69</v>
      </c>
      <c r="B29" s="412"/>
      <c r="C29" s="413"/>
      <c r="D29" s="204">
        <f>SUM(D21:D28)</f>
        <v>137.155348</v>
      </c>
      <c r="E29" s="204">
        <f t="shared" ref="E29:M29" si="2">SUM(E21:E28)</f>
        <v>48.973999999999997</v>
      </c>
      <c r="F29" s="204">
        <f t="shared" si="2"/>
        <v>19.400989999999997</v>
      </c>
      <c r="G29" s="204">
        <f t="shared" si="2"/>
        <v>14.739199999999999</v>
      </c>
      <c r="H29" s="204">
        <f t="shared" si="2"/>
        <v>13.243790000000001</v>
      </c>
      <c r="I29" s="204">
        <f t="shared" si="2"/>
        <v>0</v>
      </c>
      <c r="J29" s="204">
        <f t="shared" si="2"/>
        <v>0</v>
      </c>
      <c r="K29" s="204">
        <f t="shared" si="2"/>
        <v>0</v>
      </c>
      <c r="L29" s="204">
        <f t="shared" si="2"/>
        <v>0</v>
      </c>
      <c r="M29" s="204">
        <f t="shared" si="2"/>
        <v>47.383979999999994</v>
      </c>
      <c r="N29" s="415">
        <f t="shared" si="1"/>
        <v>96.753338506146108</v>
      </c>
    </row>
    <row r="32" spans="1:14">
      <c r="E32" s="3"/>
      <c r="F32" s="3"/>
      <c r="G32" s="3"/>
      <c r="H32" s="3"/>
    </row>
  </sheetData>
  <mergeCells count="17">
    <mergeCell ref="A8:A9"/>
    <mergeCell ref="B8:C9"/>
    <mergeCell ref="F8:I9"/>
    <mergeCell ref="A19:A20"/>
    <mergeCell ref="B19:B20"/>
    <mergeCell ref="C19:C20"/>
    <mergeCell ref="D19:D20"/>
    <mergeCell ref="E19:E20"/>
    <mergeCell ref="F19:N19"/>
    <mergeCell ref="B6:C6"/>
    <mergeCell ref="F6:G6"/>
    <mergeCell ref="A1:N1"/>
    <mergeCell ref="A2:N2"/>
    <mergeCell ref="B4:C4"/>
    <mergeCell ref="F4:G4"/>
    <mergeCell ref="H4:I4"/>
    <mergeCell ref="A3:C3"/>
  </mergeCells>
  <hyperlinks>
    <hyperlink ref="A3" location="'Fact Sheet of VDC'!A1" display="&lt;&lt;Back"/>
  </hyperlinks>
  <printOptions horizontalCentered="1" verticalCentered="1"/>
  <pageMargins left="0.31496062992125984" right="0.31496062992125984" top="0.43307086614173229" bottom="0.39370078740157483" header="0.31496062992125984" footer="0.31496062992125984"/>
  <pageSetup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workbookViewId="0">
      <selection activeCell="A3" sqref="A3:C3"/>
    </sheetView>
  </sheetViews>
  <sheetFormatPr defaultRowHeight="15"/>
  <cols>
    <col min="1" max="1" width="28.140625" style="248" customWidth="1"/>
    <col min="2" max="4" width="9.140625" style="248"/>
    <col min="5" max="5" width="7.42578125" style="248" customWidth="1"/>
    <col min="6" max="6" width="7.85546875" style="248" customWidth="1"/>
    <col min="7" max="7" width="10.140625" style="248" customWidth="1"/>
    <col min="8" max="8" width="9.140625" style="248"/>
    <col min="9" max="9" width="9.7109375" style="248" bestFit="1" customWidth="1"/>
    <col min="10" max="10" width="7.5703125" style="248" customWidth="1"/>
    <col min="11" max="12" width="7.85546875" style="248" customWidth="1"/>
    <col min="13" max="13" width="9.140625" style="248"/>
    <col min="14" max="14" width="10" style="248" bestFit="1" customWidth="1"/>
    <col min="15" max="16384" width="9.140625" style="248"/>
  </cols>
  <sheetData>
    <row r="1" spans="1:14">
      <c r="A1" s="589" t="s">
        <v>31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</row>
    <row r="2" spans="1:14">
      <c r="A2" s="589" t="s">
        <v>565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</row>
    <row r="3" spans="1:14">
      <c r="A3" s="489" t="s">
        <v>585</v>
      </c>
      <c r="B3" s="489"/>
      <c r="C3" s="489"/>
    </row>
    <row r="4" spans="1:14">
      <c r="A4" s="11" t="s">
        <v>309</v>
      </c>
      <c r="B4" s="587" t="s">
        <v>564</v>
      </c>
      <c r="C4" s="588"/>
      <c r="D4" s="11" t="s">
        <v>548</v>
      </c>
      <c r="F4" s="587">
        <v>10</v>
      </c>
      <c r="G4" s="588"/>
      <c r="H4" s="590" t="s">
        <v>4</v>
      </c>
      <c r="I4" s="591"/>
      <c r="J4" s="12">
        <v>5146</v>
      </c>
      <c r="K4" s="11" t="s">
        <v>86</v>
      </c>
      <c r="M4" s="12"/>
    </row>
    <row r="5" spans="1:14">
      <c r="A5" s="11"/>
    </row>
    <row r="6" spans="1:14">
      <c r="A6" s="11" t="s">
        <v>549</v>
      </c>
      <c r="B6" s="587"/>
      <c r="C6" s="588"/>
      <c r="D6" s="11" t="s">
        <v>280</v>
      </c>
      <c r="F6" s="605" t="s">
        <v>563</v>
      </c>
      <c r="G6" s="606"/>
      <c r="H6" s="414"/>
      <c r="I6" s="414"/>
    </row>
    <row r="7" spans="1:14">
      <c r="A7" s="11"/>
    </row>
    <row r="8" spans="1:14">
      <c r="A8" s="592" t="s">
        <v>551</v>
      </c>
      <c r="B8" s="593" t="s">
        <v>562</v>
      </c>
      <c r="C8" s="594"/>
      <c r="F8" s="607" t="s">
        <v>408</v>
      </c>
      <c r="G8" s="608"/>
      <c r="H8" s="608"/>
      <c r="I8" s="609"/>
    </row>
    <row r="9" spans="1:14" ht="20.25" customHeight="1">
      <c r="A9" s="592"/>
      <c r="B9" s="595"/>
      <c r="C9" s="596"/>
      <c r="F9" s="610"/>
      <c r="G9" s="611"/>
      <c r="H9" s="611"/>
      <c r="I9" s="612"/>
    </row>
    <row r="10" spans="1:14">
      <c r="A10" s="11"/>
      <c r="B10" s="197"/>
      <c r="C10" s="197"/>
      <c r="F10" s="197"/>
      <c r="G10" s="197"/>
      <c r="H10" s="197"/>
      <c r="I10" s="197"/>
    </row>
    <row r="11" spans="1:14">
      <c r="A11" s="11" t="s">
        <v>554</v>
      </c>
      <c r="B11" s="198">
        <v>51</v>
      </c>
      <c r="C11" s="197" t="s">
        <v>555</v>
      </c>
      <c r="F11" s="198">
        <v>6</v>
      </c>
      <c r="G11" s="197" t="s">
        <v>556</v>
      </c>
      <c r="H11" s="198">
        <v>159</v>
      </c>
      <c r="I11" s="197" t="s">
        <v>160</v>
      </c>
      <c r="J11" s="253">
        <v>24</v>
      </c>
      <c r="K11" s="197" t="s">
        <v>161</v>
      </c>
      <c r="L11" s="253">
        <v>140</v>
      </c>
    </row>
    <row r="12" spans="1:14">
      <c r="A12" s="11"/>
      <c r="B12" s="197"/>
      <c r="C12" s="197"/>
      <c r="F12" s="197"/>
      <c r="G12" s="197"/>
      <c r="H12" s="197"/>
      <c r="I12" s="197"/>
    </row>
    <row r="13" spans="1:14">
      <c r="A13" s="11"/>
    </row>
    <row r="14" spans="1:14" ht="22.5">
      <c r="A14" s="11" t="s">
        <v>96</v>
      </c>
      <c r="C14" s="11" t="s">
        <v>40</v>
      </c>
      <c r="D14" s="253">
        <v>1125</v>
      </c>
      <c r="E14" s="11" t="s">
        <v>41</v>
      </c>
      <c r="F14" s="253">
        <v>201</v>
      </c>
      <c r="G14" s="11" t="s">
        <v>42</v>
      </c>
      <c r="H14" s="253">
        <v>654</v>
      </c>
      <c r="I14" s="11" t="s">
        <v>64</v>
      </c>
      <c r="J14" s="253">
        <v>1980</v>
      </c>
      <c r="K14" s="11" t="s">
        <v>43</v>
      </c>
      <c r="L14" s="253">
        <v>284</v>
      </c>
      <c r="M14" s="199" t="s">
        <v>557</v>
      </c>
      <c r="N14" s="253"/>
    </row>
    <row r="15" spans="1:14">
      <c r="A15" s="11" t="s">
        <v>45</v>
      </c>
      <c r="C15" s="11" t="s">
        <v>46</v>
      </c>
      <c r="D15" s="253">
        <v>2454</v>
      </c>
      <c r="E15" s="11" t="s">
        <v>47</v>
      </c>
      <c r="F15" s="253">
        <v>417</v>
      </c>
      <c r="G15" s="11" t="s">
        <v>48</v>
      </c>
      <c r="H15" s="253">
        <v>1381</v>
      </c>
      <c r="I15" s="11" t="s">
        <v>77</v>
      </c>
      <c r="J15" s="253">
        <v>4252</v>
      </c>
    </row>
    <row r="16" spans="1:14">
      <c r="A16" s="11"/>
      <c r="C16" s="11" t="s">
        <v>49</v>
      </c>
      <c r="D16" s="253">
        <v>2424</v>
      </c>
      <c r="E16" s="11" t="s">
        <v>50</v>
      </c>
      <c r="F16" s="253">
        <v>389</v>
      </c>
      <c r="G16" s="11" t="s">
        <v>162</v>
      </c>
      <c r="H16" s="253">
        <v>1249</v>
      </c>
      <c r="I16" s="11" t="s">
        <v>76</v>
      </c>
      <c r="J16" s="253">
        <v>4062</v>
      </c>
    </row>
    <row r="19" spans="1:14">
      <c r="A19" s="11"/>
    </row>
    <row r="20" spans="1:14">
      <c r="A20" s="200" t="s">
        <v>52</v>
      </c>
    </row>
    <row r="21" spans="1:14">
      <c r="A21" s="603" t="s">
        <v>53</v>
      </c>
      <c r="B21" s="603" t="s">
        <v>54</v>
      </c>
      <c r="C21" s="603" t="s">
        <v>55</v>
      </c>
      <c r="D21" s="603" t="s">
        <v>73</v>
      </c>
      <c r="E21" s="603" t="s">
        <v>126</v>
      </c>
      <c r="F21" s="604" t="s">
        <v>558</v>
      </c>
      <c r="G21" s="604"/>
      <c r="H21" s="604"/>
      <c r="I21" s="604"/>
      <c r="J21" s="604"/>
      <c r="K21" s="604"/>
      <c r="L21" s="604"/>
      <c r="M21" s="604"/>
      <c r="N21" s="604"/>
    </row>
    <row r="22" spans="1:14" ht="19.5" customHeight="1">
      <c r="A22" s="603"/>
      <c r="B22" s="603"/>
      <c r="C22" s="603"/>
      <c r="D22" s="603"/>
      <c r="E22" s="603"/>
      <c r="F22" s="413" t="s">
        <v>61</v>
      </c>
      <c r="G22" s="413" t="s">
        <v>62</v>
      </c>
      <c r="H22" s="413" t="s">
        <v>63</v>
      </c>
      <c r="I22" s="413">
        <v>4</v>
      </c>
      <c r="J22" s="413">
        <v>5</v>
      </c>
      <c r="K22" s="413">
        <v>6</v>
      </c>
      <c r="L22" s="413">
        <v>7</v>
      </c>
      <c r="M22" s="413" t="s">
        <v>64</v>
      </c>
      <c r="N22" s="413" t="s">
        <v>65</v>
      </c>
    </row>
    <row r="23" spans="1:14" ht="22.5" customHeight="1">
      <c r="A23" s="201" t="s">
        <v>370</v>
      </c>
      <c r="B23" s="201">
        <v>500</v>
      </c>
      <c r="C23" s="202" t="s">
        <v>559</v>
      </c>
      <c r="D23" s="203">
        <f>B23*J4/100000</f>
        <v>25.73</v>
      </c>
      <c r="E23" s="415">
        <v>17.5</v>
      </c>
      <c r="F23" s="415">
        <v>8.92</v>
      </c>
      <c r="G23" s="415">
        <v>5.6476499999999996</v>
      </c>
      <c r="H23" s="415">
        <v>4.3530300000000004</v>
      </c>
      <c r="I23" s="415">
        <v>0</v>
      </c>
      <c r="J23" s="415">
        <v>0</v>
      </c>
      <c r="K23" s="415">
        <v>0</v>
      </c>
      <c r="L23" s="415">
        <v>0</v>
      </c>
      <c r="M23" s="415">
        <f>SUM(F23:L23)</f>
        <v>18.920680000000001</v>
      </c>
      <c r="N23" s="416">
        <f>M23/E23*100</f>
        <v>108.11817142857143</v>
      </c>
    </row>
    <row r="24" spans="1:14">
      <c r="A24" s="201" t="s">
        <v>338</v>
      </c>
      <c r="B24" s="201">
        <v>360</v>
      </c>
      <c r="C24" s="202" t="s">
        <v>559</v>
      </c>
      <c r="D24" s="203">
        <f>B24*J4/100000</f>
        <v>18.525600000000001</v>
      </c>
      <c r="E24" s="415">
        <v>3.6</v>
      </c>
      <c r="F24" s="415">
        <v>0.28999999999999998</v>
      </c>
      <c r="G24" s="415">
        <v>0.69618999999999998</v>
      </c>
      <c r="H24" s="415">
        <v>0.76490000000000002</v>
      </c>
      <c r="I24" s="415">
        <v>0</v>
      </c>
      <c r="J24" s="415">
        <v>0</v>
      </c>
      <c r="K24" s="415">
        <v>0</v>
      </c>
      <c r="L24" s="415">
        <v>0</v>
      </c>
      <c r="M24" s="415">
        <f t="shared" ref="M24:M30" si="0">SUM(F24:L24)</f>
        <v>1.75109</v>
      </c>
      <c r="N24" s="416">
        <f t="shared" ref="N24:N31" si="1">M24/E24*100</f>
        <v>48.641388888888883</v>
      </c>
    </row>
    <row r="25" spans="1:14" ht="22.5">
      <c r="A25" s="201" t="s">
        <v>321</v>
      </c>
      <c r="B25" s="201">
        <v>8.4</v>
      </c>
      <c r="C25" s="202" t="s">
        <v>560</v>
      </c>
      <c r="D25" s="203">
        <v>58.8</v>
      </c>
      <c r="E25" s="415">
        <v>10.57</v>
      </c>
      <c r="F25" s="415">
        <v>3.85</v>
      </c>
      <c r="G25" s="415">
        <v>3.36</v>
      </c>
      <c r="H25" s="415">
        <v>3.76</v>
      </c>
      <c r="I25" s="415">
        <v>0</v>
      </c>
      <c r="J25" s="415">
        <v>0</v>
      </c>
      <c r="K25" s="415">
        <v>0</v>
      </c>
      <c r="L25" s="415">
        <v>0</v>
      </c>
      <c r="M25" s="415">
        <f t="shared" si="0"/>
        <v>10.969999999999999</v>
      </c>
      <c r="N25" s="416">
        <f t="shared" si="1"/>
        <v>103.78429517502363</v>
      </c>
    </row>
    <row r="26" spans="1:14" ht="22.5">
      <c r="A26" s="201" t="s">
        <v>561</v>
      </c>
      <c r="B26" s="201">
        <v>0.84</v>
      </c>
      <c r="C26" s="202" t="s">
        <v>560</v>
      </c>
      <c r="D26" s="203">
        <v>5.88</v>
      </c>
      <c r="E26" s="415">
        <v>3.85</v>
      </c>
      <c r="F26" s="415">
        <v>1.46</v>
      </c>
      <c r="G26" s="415">
        <v>1.24</v>
      </c>
      <c r="H26" s="415">
        <v>1.58</v>
      </c>
      <c r="I26" s="415">
        <v>0</v>
      </c>
      <c r="J26" s="415">
        <v>0</v>
      </c>
      <c r="K26" s="415">
        <v>0</v>
      </c>
      <c r="L26" s="415">
        <v>0</v>
      </c>
      <c r="M26" s="415">
        <f t="shared" si="0"/>
        <v>4.28</v>
      </c>
      <c r="N26" s="416">
        <f t="shared" si="1"/>
        <v>111.16883116883119</v>
      </c>
    </row>
    <row r="27" spans="1:14" ht="22.5">
      <c r="A27" s="201" t="s">
        <v>322</v>
      </c>
      <c r="B27" s="201">
        <v>3.6</v>
      </c>
      <c r="C27" s="202" t="s">
        <v>560</v>
      </c>
      <c r="D27" s="203">
        <v>25.2</v>
      </c>
      <c r="E27" s="415">
        <v>6.6000000000000005</v>
      </c>
      <c r="F27" s="415">
        <v>2.16</v>
      </c>
      <c r="G27" s="415">
        <v>2.14</v>
      </c>
      <c r="H27" s="415">
        <v>2.2999999999999998</v>
      </c>
      <c r="I27" s="415">
        <v>0</v>
      </c>
      <c r="J27" s="415">
        <v>0</v>
      </c>
      <c r="K27" s="415">
        <v>0</v>
      </c>
      <c r="L27" s="415">
        <v>0</v>
      </c>
      <c r="M27" s="415">
        <f t="shared" si="0"/>
        <v>6.6000000000000005</v>
      </c>
      <c r="N27" s="416">
        <f t="shared" si="1"/>
        <v>100</v>
      </c>
    </row>
    <row r="28" spans="1:14" ht="22.5">
      <c r="A28" s="201" t="s">
        <v>305</v>
      </c>
      <c r="B28" s="201">
        <v>0.24</v>
      </c>
      <c r="C28" s="202" t="s">
        <v>560</v>
      </c>
      <c r="D28" s="203">
        <v>1.68</v>
      </c>
      <c r="E28" s="415">
        <v>0.72</v>
      </c>
      <c r="F28" s="415">
        <v>0.24</v>
      </c>
      <c r="G28" s="415">
        <v>0.22</v>
      </c>
      <c r="H28" s="415">
        <v>0.26</v>
      </c>
      <c r="I28" s="415">
        <v>0</v>
      </c>
      <c r="J28" s="415">
        <v>0</v>
      </c>
      <c r="K28" s="415">
        <v>0</v>
      </c>
      <c r="L28" s="415">
        <v>0</v>
      </c>
      <c r="M28" s="415">
        <f t="shared" si="0"/>
        <v>0.72</v>
      </c>
      <c r="N28" s="416">
        <f t="shared" si="1"/>
        <v>100</v>
      </c>
    </row>
    <row r="29" spans="1:14" ht="22.5">
      <c r="A29" s="201" t="s">
        <v>306</v>
      </c>
      <c r="B29" s="201">
        <v>0.24</v>
      </c>
      <c r="C29" s="202" t="s">
        <v>560</v>
      </c>
      <c r="D29" s="203">
        <v>1.68</v>
      </c>
      <c r="E29" s="415">
        <v>1.22</v>
      </c>
      <c r="F29" s="415">
        <v>0.54</v>
      </c>
      <c r="G29" s="415">
        <v>0.39</v>
      </c>
      <c r="H29" s="415">
        <v>0.36</v>
      </c>
      <c r="I29" s="415">
        <v>0</v>
      </c>
      <c r="J29" s="415">
        <v>0</v>
      </c>
      <c r="K29" s="415">
        <v>0</v>
      </c>
      <c r="L29" s="415">
        <v>0</v>
      </c>
      <c r="M29" s="415">
        <f t="shared" si="0"/>
        <v>1.29</v>
      </c>
      <c r="N29" s="416">
        <f t="shared" si="1"/>
        <v>105.73770491803278</v>
      </c>
    </row>
    <row r="30" spans="1:14">
      <c r="A30" s="201" t="s">
        <v>113</v>
      </c>
      <c r="B30" s="201">
        <v>0.2</v>
      </c>
      <c r="C30" s="202" t="s">
        <v>68</v>
      </c>
      <c r="D30" s="203">
        <v>0.2</v>
      </c>
      <c r="E30" s="415">
        <v>0.2</v>
      </c>
      <c r="F30" s="415">
        <v>0.2</v>
      </c>
      <c r="G30" s="415">
        <v>0</v>
      </c>
      <c r="H30" s="415"/>
      <c r="I30" s="415">
        <v>0</v>
      </c>
      <c r="J30" s="415">
        <v>0</v>
      </c>
      <c r="K30" s="415">
        <v>0</v>
      </c>
      <c r="L30" s="415">
        <v>0</v>
      </c>
      <c r="M30" s="415">
        <f t="shared" si="0"/>
        <v>0.2</v>
      </c>
      <c r="N30" s="416">
        <f t="shared" si="1"/>
        <v>100</v>
      </c>
    </row>
    <row r="31" spans="1:14">
      <c r="A31" s="412" t="s">
        <v>69</v>
      </c>
      <c r="B31" s="412"/>
      <c r="C31" s="413"/>
      <c r="D31" s="204">
        <f>SUM(D23:D30)</f>
        <v>137.69559999999998</v>
      </c>
      <c r="E31" s="204">
        <f t="shared" ref="E31:M31" si="2">SUM(E23:E30)</f>
        <v>44.260000000000005</v>
      </c>
      <c r="F31" s="204">
        <f t="shared" si="2"/>
        <v>17.659999999999997</v>
      </c>
      <c r="G31" s="204">
        <f t="shared" si="2"/>
        <v>13.693840000000002</v>
      </c>
      <c r="H31" s="204">
        <f t="shared" si="2"/>
        <v>13.377929999999997</v>
      </c>
      <c r="I31" s="204">
        <f t="shared" si="2"/>
        <v>0</v>
      </c>
      <c r="J31" s="204">
        <f t="shared" si="2"/>
        <v>0</v>
      </c>
      <c r="K31" s="204">
        <f t="shared" si="2"/>
        <v>0</v>
      </c>
      <c r="L31" s="204">
        <f t="shared" si="2"/>
        <v>0</v>
      </c>
      <c r="M31" s="204">
        <f t="shared" si="2"/>
        <v>44.731770000000004</v>
      </c>
      <c r="N31" s="416">
        <f t="shared" si="1"/>
        <v>101.06590600994126</v>
      </c>
    </row>
    <row r="34" spans="5:8">
      <c r="E34" s="3"/>
      <c r="F34" s="3"/>
      <c r="G34" s="3"/>
      <c r="H34" s="3"/>
    </row>
  </sheetData>
  <mergeCells count="17">
    <mergeCell ref="A8:A9"/>
    <mergeCell ref="B8:C9"/>
    <mergeCell ref="F8:I9"/>
    <mergeCell ref="A21:A22"/>
    <mergeCell ref="B21:B22"/>
    <mergeCell ref="C21:C22"/>
    <mergeCell ref="D21:D22"/>
    <mergeCell ref="E21:E22"/>
    <mergeCell ref="F21:N21"/>
    <mergeCell ref="B6:C6"/>
    <mergeCell ref="F6:G6"/>
    <mergeCell ref="A1:N1"/>
    <mergeCell ref="A2:N2"/>
    <mergeCell ref="B4:C4"/>
    <mergeCell ref="F4:G4"/>
    <mergeCell ref="H4:I4"/>
    <mergeCell ref="A3:C3"/>
  </mergeCells>
  <hyperlinks>
    <hyperlink ref="A3" location="'Fact Sheet of VDC'!A1" display="&lt;&lt;Back"/>
  </hyperlinks>
  <printOptions horizontalCentered="1" verticalCentered="1"/>
  <pageMargins left="0.27559055118110237" right="0.19685039370078741" top="0.74803149606299213" bottom="0.74803149606299213" header="0.31496062992125984" footer="0.31496062992125984"/>
  <pageSetup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workbookViewId="0">
      <selection activeCell="A3" sqref="A3:C3"/>
    </sheetView>
  </sheetViews>
  <sheetFormatPr defaultRowHeight="15"/>
  <cols>
    <col min="1" max="1" width="26.7109375" style="248" customWidth="1"/>
    <col min="2" max="5" width="9.140625" style="248"/>
    <col min="6" max="6" width="8.5703125" style="248" customWidth="1"/>
    <col min="7" max="7" width="10.140625" style="248" bestFit="1" customWidth="1"/>
    <col min="8" max="8" width="6.85546875" style="248" customWidth="1"/>
    <col min="9" max="9" width="9.7109375" style="248" bestFit="1" customWidth="1"/>
    <col min="10" max="10" width="7.5703125" style="248" customWidth="1"/>
    <col min="11" max="11" width="9.140625" style="248"/>
    <col min="12" max="12" width="7.28515625" style="248" customWidth="1"/>
    <col min="13" max="13" width="8.7109375" style="248" customWidth="1"/>
    <col min="14" max="14" width="7.140625" style="248" customWidth="1"/>
    <col min="15" max="16384" width="9.140625" style="248"/>
  </cols>
  <sheetData>
    <row r="1" spans="1:14">
      <c r="A1" s="589" t="s">
        <v>31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</row>
    <row r="2" spans="1:14">
      <c r="A2" s="589" t="s">
        <v>566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</row>
    <row r="3" spans="1:14">
      <c r="A3" s="489" t="s">
        <v>585</v>
      </c>
      <c r="B3" s="489"/>
      <c r="C3" s="489"/>
    </row>
    <row r="4" spans="1:14">
      <c r="A4" s="11" t="s">
        <v>309</v>
      </c>
      <c r="B4" s="587" t="s">
        <v>567</v>
      </c>
      <c r="C4" s="588"/>
      <c r="D4" s="11" t="s">
        <v>548</v>
      </c>
      <c r="F4" s="587">
        <v>10</v>
      </c>
      <c r="G4" s="588"/>
      <c r="H4" s="590" t="s">
        <v>4</v>
      </c>
      <c r="I4" s="591"/>
      <c r="J4" s="12">
        <v>5028</v>
      </c>
      <c r="K4" s="11" t="s">
        <v>86</v>
      </c>
      <c r="M4" s="12"/>
    </row>
    <row r="5" spans="1:14">
      <c r="A5" s="11"/>
    </row>
    <row r="6" spans="1:14">
      <c r="A6" s="11" t="s">
        <v>549</v>
      </c>
      <c r="B6" s="587"/>
      <c r="C6" s="588"/>
      <c r="D6" s="11" t="s">
        <v>280</v>
      </c>
      <c r="F6" s="587" t="s">
        <v>568</v>
      </c>
      <c r="G6" s="588"/>
      <c r="H6" s="414"/>
      <c r="I6" s="414"/>
    </row>
    <row r="7" spans="1:14">
      <c r="A7" s="11"/>
    </row>
    <row r="8" spans="1:14">
      <c r="A8" s="592" t="s">
        <v>551</v>
      </c>
      <c r="B8" s="593" t="s">
        <v>569</v>
      </c>
      <c r="C8" s="594"/>
      <c r="F8" s="607" t="s">
        <v>408</v>
      </c>
      <c r="G8" s="608"/>
      <c r="H8" s="608"/>
      <c r="I8" s="609"/>
    </row>
    <row r="9" spans="1:14" ht="31.5" customHeight="1">
      <c r="A9" s="592"/>
      <c r="B9" s="595"/>
      <c r="C9" s="596"/>
      <c r="F9" s="610"/>
      <c r="G9" s="611"/>
      <c r="H9" s="611"/>
      <c r="I9" s="612"/>
    </row>
    <row r="10" spans="1:14">
      <c r="A10" s="11"/>
      <c r="B10" s="197"/>
      <c r="C10" s="197"/>
      <c r="F10" s="197"/>
      <c r="G10" s="197"/>
      <c r="H10" s="197"/>
      <c r="I10" s="197"/>
    </row>
    <row r="11" spans="1:14">
      <c r="A11" s="11" t="s">
        <v>554</v>
      </c>
      <c r="B11" s="198">
        <v>52</v>
      </c>
      <c r="C11" s="197" t="s">
        <v>555</v>
      </c>
      <c r="F11" s="198">
        <v>10</v>
      </c>
      <c r="G11" s="197" t="s">
        <v>556</v>
      </c>
      <c r="H11" s="198">
        <v>160</v>
      </c>
      <c r="I11" s="197" t="s">
        <v>160</v>
      </c>
      <c r="J11" s="253">
        <v>16</v>
      </c>
      <c r="K11" s="197" t="s">
        <v>161</v>
      </c>
      <c r="L11" s="253">
        <v>298</v>
      </c>
    </row>
    <row r="12" spans="1:14">
      <c r="A12" s="11"/>
      <c r="B12" s="197"/>
      <c r="C12" s="197"/>
      <c r="F12" s="197"/>
      <c r="G12" s="197"/>
      <c r="H12" s="197"/>
      <c r="I12" s="197"/>
    </row>
    <row r="13" spans="1:14">
      <c r="A13" s="11"/>
    </row>
    <row r="14" spans="1:14" ht="22.5">
      <c r="A14" s="11" t="s">
        <v>96</v>
      </c>
      <c r="C14" s="11" t="s">
        <v>40</v>
      </c>
      <c r="D14" s="253"/>
      <c r="E14" s="11" t="s">
        <v>41</v>
      </c>
      <c r="F14" s="253"/>
      <c r="G14" s="11" t="s">
        <v>42</v>
      </c>
      <c r="H14" s="253"/>
      <c r="I14" s="11" t="s">
        <v>64</v>
      </c>
      <c r="J14" s="253" t="e">
        <f>'[3]Form A'!J19+'[3]Form A'!#REF!+'[3]Form A'!#REF!+'[3]Form A'!#REF!+'[3]Form A'!#REF!+'[3]Form A'!#REF!+'[3]Form A'!#REF!+'[3]Form A'!#REF!+'[3]Form A'!#REF!+'[3]Form A'!#REF!</f>
        <v>#REF!</v>
      </c>
      <c r="K14" s="11" t="s">
        <v>43</v>
      </c>
      <c r="L14" s="253">
        <v>589</v>
      </c>
      <c r="M14" s="199" t="s">
        <v>557</v>
      </c>
      <c r="N14" s="253">
        <v>440</v>
      </c>
    </row>
    <row r="15" spans="1:14">
      <c r="A15" s="11" t="s">
        <v>45</v>
      </c>
      <c r="C15" s="11" t="s">
        <v>46</v>
      </c>
      <c r="D15" s="253">
        <v>2786</v>
      </c>
      <c r="E15" s="11" t="s">
        <v>47</v>
      </c>
      <c r="F15" s="253">
        <v>352</v>
      </c>
      <c r="G15" s="11" t="s">
        <v>48</v>
      </c>
      <c r="H15" s="253">
        <v>1105</v>
      </c>
      <c r="I15" s="11" t="s">
        <v>77</v>
      </c>
      <c r="J15" s="253">
        <v>4243</v>
      </c>
    </row>
    <row r="16" spans="1:14">
      <c r="A16" s="11"/>
      <c r="C16" s="11" t="s">
        <v>49</v>
      </c>
      <c r="D16" s="253">
        <v>2678</v>
      </c>
      <c r="E16" s="11" t="s">
        <v>50</v>
      </c>
      <c r="F16" s="253">
        <v>238</v>
      </c>
      <c r="G16" s="11" t="s">
        <v>162</v>
      </c>
      <c r="H16" s="253">
        <v>1058</v>
      </c>
      <c r="I16" s="11" t="s">
        <v>76</v>
      </c>
      <c r="J16" s="253">
        <v>3974</v>
      </c>
    </row>
    <row r="19" spans="1:14">
      <c r="A19" s="11"/>
    </row>
    <row r="20" spans="1:14">
      <c r="A20" s="200" t="s">
        <v>52</v>
      </c>
    </row>
    <row r="21" spans="1:14">
      <c r="A21" s="603" t="s">
        <v>53</v>
      </c>
      <c r="B21" s="603" t="s">
        <v>54</v>
      </c>
      <c r="C21" s="603" t="s">
        <v>55</v>
      </c>
      <c r="D21" s="603" t="s">
        <v>73</v>
      </c>
      <c r="E21" s="603" t="s">
        <v>126</v>
      </c>
      <c r="F21" s="604" t="s">
        <v>558</v>
      </c>
      <c r="G21" s="604"/>
      <c r="H21" s="604"/>
      <c r="I21" s="604"/>
      <c r="J21" s="604"/>
      <c r="K21" s="604"/>
      <c r="L21" s="604"/>
      <c r="M21" s="604"/>
      <c r="N21" s="604"/>
    </row>
    <row r="22" spans="1:14">
      <c r="A22" s="603"/>
      <c r="B22" s="603"/>
      <c r="C22" s="603"/>
      <c r="D22" s="603"/>
      <c r="E22" s="603"/>
      <c r="F22" s="413" t="s">
        <v>61</v>
      </c>
      <c r="G22" s="413" t="s">
        <v>62</v>
      </c>
      <c r="H22" s="413" t="s">
        <v>63</v>
      </c>
      <c r="I22" s="413">
        <v>4</v>
      </c>
      <c r="J22" s="413">
        <v>5</v>
      </c>
      <c r="K22" s="413">
        <v>6</v>
      </c>
      <c r="L22" s="413">
        <v>7</v>
      </c>
      <c r="M22" s="413" t="s">
        <v>64</v>
      </c>
      <c r="N22" s="413" t="s">
        <v>65</v>
      </c>
    </row>
    <row r="23" spans="1:14" ht="23.25" customHeight="1">
      <c r="A23" s="201" t="s">
        <v>370</v>
      </c>
      <c r="B23" s="201">
        <v>500</v>
      </c>
      <c r="C23" s="202" t="s">
        <v>559</v>
      </c>
      <c r="D23" s="203">
        <f>B23*J4/100000</f>
        <v>25.14</v>
      </c>
      <c r="E23" s="415">
        <v>20.2</v>
      </c>
      <c r="F23" s="415">
        <v>9.7913899999999998</v>
      </c>
      <c r="G23" s="415">
        <v>5.3768500000000001</v>
      </c>
      <c r="H23" s="415">
        <v>2.29975</v>
      </c>
      <c r="I23" s="415">
        <v>0</v>
      </c>
      <c r="J23" s="415">
        <v>0</v>
      </c>
      <c r="K23" s="415">
        <v>0</v>
      </c>
      <c r="L23" s="415">
        <v>0</v>
      </c>
      <c r="M23" s="415">
        <f>SUM(F23:L23)</f>
        <v>17.46799</v>
      </c>
      <c r="N23" s="416">
        <f>M23/E23*100</f>
        <v>86.475198019801979</v>
      </c>
    </row>
    <row r="24" spans="1:14">
      <c r="A24" s="201" t="s">
        <v>338</v>
      </c>
      <c r="B24" s="201">
        <v>360</v>
      </c>
      <c r="C24" s="202" t="s">
        <v>559</v>
      </c>
      <c r="D24" s="203">
        <f>B24*J4/100000</f>
        <v>18.1008</v>
      </c>
      <c r="E24" s="415">
        <v>5.41</v>
      </c>
      <c r="F24" s="415">
        <v>0.24227000000000001</v>
      </c>
      <c r="G24" s="415">
        <v>1.5460199999999999</v>
      </c>
      <c r="H24" s="415">
        <v>3.2710499999999998</v>
      </c>
      <c r="I24" s="415">
        <v>0</v>
      </c>
      <c r="J24" s="415">
        <v>0</v>
      </c>
      <c r="K24" s="415">
        <v>0</v>
      </c>
      <c r="L24" s="415">
        <v>0</v>
      </c>
      <c r="M24" s="415">
        <f t="shared" ref="M24:M30" si="0">SUM(F24:L24)</f>
        <v>5.0593399999999997</v>
      </c>
      <c r="N24" s="416">
        <f t="shared" ref="N24:N31" si="1">M24/E24*100</f>
        <v>93.518299445471342</v>
      </c>
    </row>
    <row r="25" spans="1:14" ht="22.5">
      <c r="A25" s="201" t="s">
        <v>321</v>
      </c>
      <c r="B25" s="201">
        <v>8.4</v>
      </c>
      <c r="C25" s="202" t="s">
        <v>560</v>
      </c>
      <c r="D25" s="203">
        <v>58.8</v>
      </c>
      <c r="E25" s="415">
        <v>12.3</v>
      </c>
      <c r="F25" s="415">
        <v>4.5</v>
      </c>
      <c r="G25" s="415">
        <v>3.6</v>
      </c>
      <c r="H25" s="415">
        <v>4.2</v>
      </c>
      <c r="I25" s="415">
        <v>0</v>
      </c>
      <c r="J25" s="415">
        <v>0</v>
      </c>
      <c r="K25" s="415">
        <v>0</v>
      </c>
      <c r="L25" s="415">
        <v>0</v>
      </c>
      <c r="M25" s="415">
        <f t="shared" si="0"/>
        <v>12.3</v>
      </c>
      <c r="N25" s="416">
        <f t="shared" si="1"/>
        <v>100</v>
      </c>
    </row>
    <row r="26" spans="1:14" ht="22.5">
      <c r="A26" s="201" t="s">
        <v>561</v>
      </c>
      <c r="B26" s="201">
        <v>0.84</v>
      </c>
      <c r="C26" s="202" t="s">
        <v>560</v>
      </c>
      <c r="D26" s="203">
        <v>5.88</v>
      </c>
      <c r="E26" s="415">
        <v>4.53</v>
      </c>
      <c r="F26" s="415">
        <v>1.8</v>
      </c>
      <c r="G26" s="415">
        <v>1.44</v>
      </c>
      <c r="H26" s="415">
        <v>1.29</v>
      </c>
      <c r="I26" s="415">
        <v>0</v>
      </c>
      <c r="J26" s="415">
        <v>0</v>
      </c>
      <c r="K26" s="415">
        <v>0</v>
      </c>
      <c r="L26" s="415">
        <v>0</v>
      </c>
      <c r="M26" s="415">
        <f t="shared" si="0"/>
        <v>4.53</v>
      </c>
      <c r="N26" s="416">
        <f t="shared" si="1"/>
        <v>100</v>
      </c>
    </row>
    <row r="27" spans="1:14" ht="22.5">
      <c r="A27" s="201" t="s">
        <v>322</v>
      </c>
      <c r="B27" s="201">
        <v>3.6</v>
      </c>
      <c r="C27" s="202" t="s">
        <v>560</v>
      </c>
      <c r="D27" s="203">
        <v>25.2</v>
      </c>
      <c r="E27" s="415">
        <v>7.6</v>
      </c>
      <c r="F27" s="415">
        <v>2.8</v>
      </c>
      <c r="G27" s="415">
        <v>2.2000000000000002</v>
      </c>
      <c r="H27" s="415">
        <v>2.4</v>
      </c>
      <c r="I27" s="415">
        <v>0</v>
      </c>
      <c r="J27" s="415">
        <v>0</v>
      </c>
      <c r="K27" s="415">
        <v>0</v>
      </c>
      <c r="L27" s="415">
        <v>0</v>
      </c>
      <c r="M27" s="415">
        <f t="shared" si="0"/>
        <v>7.4</v>
      </c>
      <c r="N27" s="416">
        <f t="shared" si="1"/>
        <v>97.368421052631589</v>
      </c>
    </row>
    <row r="28" spans="1:14" ht="22.5">
      <c r="A28" s="201" t="s">
        <v>305</v>
      </c>
      <c r="B28" s="201">
        <v>0.24</v>
      </c>
      <c r="C28" s="202" t="s">
        <v>560</v>
      </c>
      <c r="D28" s="203">
        <v>1.68</v>
      </c>
      <c r="E28" s="415">
        <v>0.78</v>
      </c>
      <c r="F28" s="415">
        <v>0.3</v>
      </c>
      <c r="G28" s="415">
        <v>0.24</v>
      </c>
      <c r="H28" s="415">
        <v>0.24</v>
      </c>
      <c r="I28" s="415">
        <v>0</v>
      </c>
      <c r="J28" s="415">
        <v>0</v>
      </c>
      <c r="K28" s="415">
        <v>0</v>
      </c>
      <c r="L28" s="415">
        <v>0</v>
      </c>
      <c r="M28" s="415">
        <f t="shared" si="0"/>
        <v>0.78</v>
      </c>
      <c r="N28" s="416">
        <f t="shared" si="1"/>
        <v>100</v>
      </c>
    </row>
    <row r="29" spans="1:14" ht="22.5">
      <c r="A29" s="201" t="s">
        <v>306</v>
      </c>
      <c r="B29" s="201">
        <v>0.24</v>
      </c>
      <c r="C29" s="202" t="s">
        <v>560</v>
      </c>
      <c r="D29" s="203">
        <v>1.68</v>
      </c>
      <c r="E29" s="415">
        <v>1.171</v>
      </c>
      <c r="F29" s="415">
        <v>0.45</v>
      </c>
      <c r="G29" s="415">
        <v>0.36</v>
      </c>
      <c r="H29" s="415">
        <v>0.36099999999999999</v>
      </c>
      <c r="I29" s="415">
        <v>0</v>
      </c>
      <c r="J29" s="415">
        <v>0</v>
      </c>
      <c r="K29" s="415">
        <v>0</v>
      </c>
      <c r="L29" s="415">
        <v>0</v>
      </c>
      <c r="M29" s="415">
        <f t="shared" si="0"/>
        <v>1.171</v>
      </c>
      <c r="N29" s="416">
        <f t="shared" si="1"/>
        <v>100</v>
      </c>
    </row>
    <row r="30" spans="1:14">
      <c r="A30" s="201" t="s">
        <v>113</v>
      </c>
      <c r="B30" s="201">
        <v>0.2</v>
      </c>
      <c r="C30" s="202" t="s">
        <v>68</v>
      </c>
      <c r="D30" s="203">
        <v>0.2</v>
      </c>
      <c r="E30" s="415">
        <v>0.2</v>
      </c>
      <c r="F30" s="415">
        <v>0.2</v>
      </c>
      <c r="G30" s="415">
        <v>0</v>
      </c>
      <c r="H30" s="415">
        <v>0</v>
      </c>
      <c r="I30" s="415">
        <v>0</v>
      </c>
      <c r="J30" s="415">
        <v>0</v>
      </c>
      <c r="K30" s="415">
        <v>0</v>
      </c>
      <c r="L30" s="415">
        <v>0</v>
      </c>
      <c r="M30" s="415">
        <f t="shared" si="0"/>
        <v>0.2</v>
      </c>
      <c r="N30" s="416">
        <f t="shared" si="1"/>
        <v>100</v>
      </c>
    </row>
    <row r="31" spans="1:14">
      <c r="A31" s="412" t="s">
        <v>69</v>
      </c>
      <c r="B31" s="412"/>
      <c r="C31" s="413"/>
      <c r="D31" s="204">
        <f>SUM(D23:D30)</f>
        <v>136.68079999999998</v>
      </c>
      <c r="E31" s="415">
        <f>SUM(E23:E30)</f>
        <v>52.191000000000003</v>
      </c>
      <c r="F31" s="415">
        <f t="shared" ref="F31:M31" si="2">SUM(F23:F30)</f>
        <v>20.083659999999998</v>
      </c>
      <c r="G31" s="415">
        <f t="shared" si="2"/>
        <v>14.762869999999998</v>
      </c>
      <c r="H31" s="415">
        <f t="shared" si="2"/>
        <v>14.061800000000002</v>
      </c>
      <c r="I31" s="415">
        <f t="shared" si="2"/>
        <v>0</v>
      </c>
      <c r="J31" s="415">
        <f t="shared" si="2"/>
        <v>0</v>
      </c>
      <c r="K31" s="415">
        <f t="shared" si="2"/>
        <v>0</v>
      </c>
      <c r="L31" s="415">
        <f t="shared" si="2"/>
        <v>0</v>
      </c>
      <c r="M31" s="415">
        <f t="shared" si="2"/>
        <v>48.908330000000007</v>
      </c>
      <c r="N31" s="416">
        <f t="shared" si="1"/>
        <v>93.710275718035689</v>
      </c>
    </row>
  </sheetData>
  <mergeCells count="17">
    <mergeCell ref="A8:A9"/>
    <mergeCell ref="B8:C9"/>
    <mergeCell ref="F8:I9"/>
    <mergeCell ref="A21:A22"/>
    <mergeCell ref="B21:B22"/>
    <mergeCell ref="C21:C22"/>
    <mergeCell ref="D21:D22"/>
    <mergeCell ref="E21:E22"/>
    <mergeCell ref="F21:N21"/>
    <mergeCell ref="B6:C6"/>
    <mergeCell ref="F6:G6"/>
    <mergeCell ref="A1:N1"/>
    <mergeCell ref="A2:N2"/>
    <mergeCell ref="B4:C4"/>
    <mergeCell ref="F4:G4"/>
    <mergeCell ref="H4:I4"/>
    <mergeCell ref="A3:C3"/>
  </mergeCells>
  <hyperlinks>
    <hyperlink ref="A3" location="'Fact Sheet of VDC'!A1" display="&lt;&lt;Back"/>
  </hyperlinks>
  <printOptions horizontalCentered="1" verticalCentered="1"/>
  <pageMargins left="0.35433070866141736" right="0.19685039370078741" top="0.55118110236220474" bottom="0.74803149606299213" header="0.31496062992125984" footer="0.31496062992125984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</vt:i4>
      </vt:variant>
    </vt:vector>
  </HeadingPairs>
  <TitlesOfParts>
    <vt:vector size="36" baseType="lpstr">
      <vt:lpstr>Fact Sheet of VDC</vt:lpstr>
      <vt:lpstr>GV PH-I TH.RAMPUR</vt:lpstr>
      <vt:lpstr>ANTODAYA</vt:lpstr>
      <vt:lpstr>Lanjigarh GVT</vt:lpstr>
      <vt:lpstr>GRAM VIKASH II LANJIGARH</vt:lpstr>
      <vt:lpstr>GV PH-II THRAMPUR</vt:lpstr>
      <vt:lpstr>CYSD</vt:lpstr>
      <vt:lpstr>TSRD NANDAPUR</vt:lpstr>
      <vt:lpstr>LAVS</vt:lpstr>
      <vt:lpstr>RASS</vt:lpstr>
      <vt:lpstr>CYSD LAXMIPUR</vt:lpstr>
      <vt:lpstr>VIKASH</vt:lpstr>
      <vt:lpstr>TSRD SEMILIGUDA</vt:lpstr>
      <vt:lpstr>CCD</vt:lpstr>
      <vt:lpstr>SWWS</vt:lpstr>
      <vt:lpstr>PEACE</vt:lpstr>
      <vt:lpstr>JKP</vt:lpstr>
      <vt:lpstr>GRAM VIKAS</vt:lpstr>
      <vt:lpstr>SWWS II</vt:lpstr>
      <vt:lpstr>PRADATA</vt:lpstr>
      <vt:lpstr>JAGRUTI</vt:lpstr>
      <vt:lpstr>FNGO-CPSW</vt:lpstr>
      <vt:lpstr>FNGO-PRADAN</vt:lpstr>
      <vt:lpstr>FNGO FACT KNuagaon</vt:lpstr>
      <vt:lpstr>ODC</vt:lpstr>
      <vt:lpstr>HARMONY</vt:lpstr>
      <vt:lpstr>PARIVARTTAN</vt:lpstr>
      <vt:lpstr>IRDMS</vt:lpstr>
      <vt:lpstr>IYSARA</vt:lpstr>
      <vt:lpstr>RCDC</vt:lpstr>
      <vt:lpstr>AKSSUS</vt:lpstr>
      <vt:lpstr>BISWA</vt:lpstr>
      <vt:lpstr>FARR</vt:lpstr>
      <vt:lpstr>SHAKTI</vt:lpstr>
      <vt:lpstr>USO</vt:lpstr>
      <vt:lpstr>AKSSUS!Print_Area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2011-07-25T06:13:37Z</dcterms:modified>
</cp:coreProperties>
</file>